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772" activeTab="0"/>
  </bookViews>
  <sheets>
    <sheet name="квітень" sheetId="1" r:id="rId1"/>
  </sheets>
  <definedNames>
    <definedName name="_xlnm.Print_Area" localSheetId="0">'квітень'!$A$1:$BT$55</definedName>
  </definedNames>
  <calcPr fullCalcOnLoad="1"/>
</workbook>
</file>

<file path=xl/sharedStrings.xml><?xml version="1.0" encoding="utf-8"?>
<sst xmlns="http://schemas.openxmlformats.org/spreadsheetml/2006/main" count="115" uniqueCount="115">
  <si>
    <t>Пісочинський колегіум</t>
  </si>
  <si>
    <t>Назва закладу освіти</t>
  </si>
  <si>
    <t>№</t>
  </si>
  <si>
    <t>Покотилівський ліцей "Промінь"</t>
  </si>
  <si>
    <t>Безлюдівький юридичний ліцей</t>
  </si>
  <si>
    <t>Коротичанський ліцей</t>
  </si>
  <si>
    <t>Переможанська ЗОШ</t>
  </si>
  <si>
    <t>ТБО</t>
  </si>
  <si>
    <t>Всього:</t>
  </si>
  <si>
    <t>Будянський  ліцей</t>
  </si>
  <si>
    <t>.Височанська   ЗОШ №2</t>
  </si>
  <si>
    <t>Південний   ліцей</t>
  </si>
  <si>
    <t xml:space="preserve">Липецька ЗОШ  №2 </t>
  </si>
  <si>
    <t>Бабаї ЗОШ</t>
  </si>
  <si>
    <t>Безлюдівка ЗОШ</t>
  </si>
  <si>
    <t>Березівка  ЗОШ</t>
  </si>
  <si>
    <t xml:space="preserve"> Борисівка ЗОШ</t>
  </si>
  <si>
    <t>Буди  ЗОШ №2</t>
  </si>
  <si>
    <t xml:space="preserve"> Васищеве  ЗОШ</t>
  </si>
  <si>
    <t xml:space="preserve"> Веселе ЗОШ</t>
  </si>
  <si>
    <t xml:space="preserve">Височанська ЗОШ №1 </t>
  </si>
  <si>
    <t>Вільхівська ЗОШ</t>
  </si>
  <si>
    <t xml:space="preserve">Глибочанська ЗОШ  </t>
  </si>
  <si>
    <t xml:space="preserve">Елітнянська ЗОШ </t>
  </si>
  <si>
    <t>Зеленогайська ЗОШ .</t>
  </si>
  <si>
    <t xml:space="preserve"> Кутузівська  ЗОШ</t>
  </si>
  <si>
    <t xml:space="preserve"> Лизогубівська  ЗОШ</t>
  </si>
  <si>
    <t xml:space="preserve">ЛипецькаЗОШ I-III ім.П.В.Щепкіна </t>
  </si>
  <si>
    <t xml:space="preserve"> Лук'янцівська ЗОШ</t>
  </si>
  <si>
    <t>Мало- Роганьська ЗОШ</t>
  </si>
  <si>
    <t xml:space="preserve"> Манченківська ЗОШ</t>
  </si>
  <si>
    <t>Південна ЗОШ №2</t>
  </si>
  <si>
    <t xml:space="preserve"> Пісочин  ЗОШ</t>
  </si>
  <si>
    <t>Покотилівська  ЗОШ №2</t>
  </si>
  <si>
    <t xml:space="preserve"> Русько-Тишківська ЗОШ</t>
  </si>
  <si>
    <t xml:space="preserve"> Стрілечанська ЗОШ</t>
  </si>
  <si>
    <t>Хорошевська ЗОШ</t>
  </si>
  <si>
    <t>Циркунівська ЗОШ</t>
  </si>
  <si>
    <t xml:space="preserve"> Яковлівська  ЗОШ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</si>
  <si>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</si>
  <si>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</si>
  <si>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</si>
  <si>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</si>
  <si>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Злив р\н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</si>
  <si>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</si>
  <si>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</si>
  <si>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</si>
  <si>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</si>
  <si>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</si>
  <si>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</si>
  <si>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</si>
  <si>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</si>
  <si>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</si>
  <si>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</si>
  <si>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</si>
  <si>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</si>
  <si>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</si>
  <si>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</si>
  <si>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</si>
  <si>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</si>
  <si>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Супровід програмне забезпечення (Адельгейм)</t>
  </si>
  <si>
    <t>Разом (070201) 0611020:</t>
  </si>
  <si>
    <t>Пісочин ЗОШ МОБІЛЬ</t>
  </si>
  <si>
    <t>канцтовари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</si>
  <si>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</si>
  <si>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</si>
  <si>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</si>
  <si>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</si>
  <si>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</si>
  <si>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</si>
  <si>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</si>
  <si>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Розробка проектів АПС</t>
  </si>
  <si>
    <t>Ремонт електрообладнання</t>
  </si>
  <si>
    <t xml:space="preserve">Блискавкозахист, обладнання </t>
  </si>
  <si>
    <t>Атестація робочих місць</t>
  </si>
  <si>
    <t>2210 "Предмети, матеріали, обладнання та інвентар"</t>
  </si>
  <si>
    <t>2230 "Продукти харчування"</t>
  </si>
  <si>
    <t>Разом 2210</t>
  </si>
  <si>
    <t>Разом 2240</t>
  </si>
  <si>
    <t>2240 "Оплата послуг (крім комунальних)"</t>
  </si>
  <si>
    <t>Затверджено на звітний період-2210</t>
  </si>
  <si>
    <t>Затверджено на звітний період -2100</t>
  </si>
  <si>
    <t>Затверджено на звітний період-2230</t>
  </si>
  <si>
    <t>Затверджено на звітний період-2240</t>
  </si>
  <si>
    <t>Затверджено на звітний період-2250</t>
  </si>
  <si>
    <t>Затверджено на звітний період-2271</t>
  </si>
  <si>
    <t>Затверджено на звітний період-2272</t>
  </si>
  <si>
    <t>Затверджено на звітний період-2273</t>
  </si>
  <si>
    <t>Затверджено на звітний  період-2274</t>
  </si>
  <si>
    <t>Затверджено на звітний  період-2275</t>
  </si>
  <si>
    <t>Затверджено на звітний  період-2282</t>
  </si>
  <si>
    <t>Затверджено на звітний  період-2730</t>
  </si>
  <si>
    <t>Затверджено на звітний  період- РАЗОМ</t>
  </si>
  <si>
    <t>(Фрунзе)Слобідська  ЗОШ</t>
  </si>
  <si>
    <t xml:space="preserve">(Жовтнева)Слобожанська ЗОШ </t>
  </si>
  <si>
    <t>Тернівський НВК</t>
  </si>
  <si>
    <t>Затверджено на звітний  період-2800</t>
  </si>
  <si>
    <t>будматеріали, інше</t>
  </si>
  <si>
    <t>вогнегасники, противопож.щит</t>
  </si>
  <si>
    <t>Телефони, інтернет</t>
  </si>
  <si>
    <t>Інше в т.ч. розробка робоч.проекту системи пожежної сігнал.</t>
  </si>
  <si>
    <t>господарчі товари, медаптечка, вікна</t>
  </si>
  <si>
    <t>АРМ зарплата (Кіктенко)</t>
  </si>
  <si>
    <t>кассові видатки  за  квітень 2018</t>
  </si>
  <si>
    <t>2111- Заробітна плата</t>
  </si>
  <si>
    <t>2120 - нарахування на заробітну плату</t>
  </si>
  <si>
    <t>2250 - витрати на відрядження</t>
  </si>
  <si>
    <t>2271 - оплата теплопостачання</t>
  </si>
  <si>
    <t>2272 - оплата водопостачання і водовідведення</t>
  </si>
  <si>
    <t>2273 - оплата за електричну енергію</t>
  </si>
  <si>
    <t>2274 - оплата за газопостачання</t>
  </si>
  <si>
    <t>2275 - інші енергоносії</t>
  </si>
  <si>
    <t>2282 - програмні заходи</t>
  </si>
  <si>
    <t xml:space="preserve">2730 - стипендії </t>
  </si>
  <si>
    <t>2800 - інші витрати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</si>
</sst>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" fontId="10" fillId="2" borderId="19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" fontId="10" fillId="2" borderId="23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2" fontId="8" fillId="26" borderId="20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horizontal="center" vertical="center" wrapText="1"/>
    </xf>
    <xf numFmtId="1" fontId="10" fillId="2" borderId="26" xfId="0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1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5" borderId="25" xfId="0" applyFont="1" applyFill="1" applyBorder="1" applyAlignment="1">
      <alignment horizontal="center" vertical="center" wrapText="1"/>
    </xf>
    <xf numFmtId="2" fontId="10" fillId="27" borderId="25" xfId="0" applyNumberFormat="1" applyFont="1" applyFill="1" applyBorder="1" applyAlignment="1">
      <alignment horizontal="center" vertical="center" wrapText="1"/>
    </xf>
    <xf numFmtId="0" fontId="10" fillId="0" borderId="25" xfId="53" applyFont="1" applyBorder="1" applyAlignment="1">
      <alignment horizontal="center" vertical="center" wrapText="1"/>
      <protection/>
    </xf>
    <xf numFmtId="1" fontId="10" fillId="0" borderId="25" xfId="53" applyNumberFormat="1" applyFont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2" fontId="10" fillId="2" borderId="34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2" fontId="8" fillId="2" borderId="35" xfId="0" applyNumberFormat="1" applyFont="1" applyFill="1" applyBorder="1" applyAlignment="1">
      <alignment horizontal="center"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1" fontId="10" fillId="2" borderId="37" xfId="0" applyNumberFormat="1" applyFont="1" applyFill="1" applyBorder="1" applyAlignment="1">
      <alignment horizontal="center" vertical="center" wrapText="1"/>
    </xf>
    <xf numFmtId="2" fontId="10" fillId="2" borderId="38" xfId="0" applyNumberFormat="1" applyFont="1" applyFill="1" applyBorder="1" applyAlignment="1">
      <alignment horizontal="center" vertical="center" wrapText="1"/>
    </xf>
    <xf numFmtId="2" fontId="10" fillId="2" borderId="35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2" fontId="10" fillId="2" borderId="37" xfId="0" applyNumberFormat="1" applyFont="1" applyFill="1" applyBorder="1" applyAlignment="1">
      <alignment horizontal="center" vertical="center" wrapText="1"/>
    </xf>
    <xf numFmtId="2" fontId="10" fillId="2" borderId="39" xfId="0" applyNumberFormat="1" applyFont="1" applyFill="1" applyBorder="1" applyAlignment="1">
      <alignment horizontal="center" vertical="center" wrapText="1"/>
    </xf>
    <xf numFmtId="2" fontId="10" fillId="2" borderId="40" xfId="0" applyNumberFormat="1" applyFont="1" applyFill="1" applyBorder="1" applyAlignment="1">
      <alignment horizontal="center" vertical="center" wrapText="1"/>
    </xf>
    <xf numFmtId="2" fontId="10" fillId="2" borderId="36" xfId="0" applyNumberFormat="1" applyFont="1" applyFill="1" applyBorder="1" applyAlignment="1">
      <alignment horizontal="center" vertical="center" wrapText="1"/>
    </xf>
    <xf numFmtId="2" fontId="10" fillId="2" borderId="41" xfId="0" applyNumberFormat="1" applyFont="1" applyFill="1" applyBorder="1" applyAlignment="1">
      <alignment horizontal="center" vertical="center" wrapText="1"/>
    </xf>
    <xf numFmtId="0" fontId="8" fillId="28" borderId="42" xfId="0" applyFont="1" applyFill="1" applyBorder="1" applyAlignment="1">
      <alignment horizontal="center" vertical="center" wrapText="1"/>
    </xf>
    <xf numFmtId="0" fontId="8" fillId="28" borderId="43" xfId="0" applyFont="1" applyFill="1" applyBorder="1" applyAlignment="1">
      <alignment horizontal="center" vertical="center" wrapText="1"/>
    </xf>
    <xf numFmtId="2" fontId="8" fillId="28" borderId="44" xfId="0" applyNumberFormat="1" applyFont="1" applyFill="1" applyBorder="1" applyAlignment="1">
      <alignment horizontal="center" vertical="center" wrapText="1"/>
    </xf>
    <xf numFmtId="2" fontId="8" fillId="28" borderId="45" xfId="0" applyNumberFormat="1" applyFont="1" applyFill="1" applyBorder="1" applyAlignment="1">
      <alignment horizontal="center" vertical="center" wrapText="1"/>
    </xf>
    <xf numFmtId="2" fontId="8" fillId="28" borderId="46" xfId="0" applyNumberFormat="1" applyFont="1" applyFill="1" applyBorder="1" applyAlignment="1">
      <alignment horizontal="center" vertical="center" wrapText="1"/>
    </xf>
    <xf numFmtId="2" fontId="8" fillId="28" borderId="47" xfId="0" applyNumberFormat="1" applyFont="1" applyFill="1" applyBorder="1" applyAlignment="1">
      <alignment horizontal="center" vertical="center" wrapText="1"/>
    </xf>
    <xf numFmtId="2" fontId="8" fillId="28" borderId="43" xfId="0" applyNumberFormat="1" applyFont="1" applyFill="1" applyBorder="1" applyAlignment="1">
      <alignment horizontal="center" vertical="center" wrapText="1"/>
    </xf>
    <xf numFmtId="2" fontId="8" fillId="28" borderId="12" xfId="0" applyNumberFormat="1" applyFont="1" applyFill="1" applyBorder="1" applyAlignment="1">
      <alignment horizontal="center" vertical="center" wrapText="1"/>
    </xf>
    <xf numFmtId="2" fontId="8" fillId="28" borderId="42" xfId="0" applyNumberFormat="1" applyFont="1" applyFill="1" applyBorder="1" applyAlignment="1">
      <alignment horizontal="center" vertical="center" wrapText="1"/>
    </xf>
    <xf numFmtId="2" fontId="8" fillId="28" borderId="4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8" fillId="28" borderId="47" xfId="0" applyNumberFormat="1" applyFont="1" applyFill="1" applyBorder="1" applyAlignment="1">
      <alignment horizontal="center" vertical="center" wrapText="1"/>
    </xf>
    <xf numFmtId="1" fontId="8" fillId="28" borderId="12" xfId="0" applyNumberFormat="1" applyFont="1" applyFill="1" applyBorder="1" applyAlignment="1">
      <alignment horizontal="center" vertical="center" wrapText="1"/>
    </xf>
    <xf numFmtId="1" fontId="8" fillId="28" borderId="42" xfId="0" applyNumberFormat="1" applyFont="1" applyFill="1" applyBorder="1" applyAlignment="1">
      <alignment horizontal="center" vertical="center" wrapText="1"/>
    </xf>
    <xf numFmtId="1" fontId="8" fillId="28" borderId="45" xfId="0" applyNumberFormat="1" applyFont="1" applyFill="1" applyBorder="1" applyAlignment="1">
      <alignment horizontal="center" vertical="center" wrapText="1"/>
    </xf>
    <xf numFmtId="1" fontId="10" fillId="29" borderId="24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2" fontId="10" fillId="2" borderId="28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2" fontId="10" fillId="2" borderId="66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T57"/>
  <sheetViews>
    <sheetView tabSelected="1" view="pageBreakPreview" zoomScale="88" zoomScaleSheetLayoutView="88" zoomScalePageLayoutView="0" workbookViewId="0" topLeftCell="A1">
      <pane xSplit="3" ySplit="5" topLeftCell="D4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R4" sqref="BR4:BR5"/>
    </sheetView>
  </sheetViews>
  <sheetFormatPr defaultColWidth="9.00390625" defaultRowHeight="12.75"/>
  <cols>
    <col min="1" max="1" width="5.00390625" style="80" customWidth="1"/>
    <col min="2" max="2" width="38.375" style="80" customWidth="1"/>
    <col min="3" max="3" width="17.125" style="80" hidden="1" customWidth="1"/>
    <col min="4" max="4" width="15.375" style="80" customWidth="1"/>
    <col min="5" max="5" width="15.25390625" style="80" customWidth="1"/>
    <col min="6" max="6" width="17.375" style="80" hidden="1" customWidth="1"/>
    <col min="7" max="7" width="11.625" style="80" customWidth="1"/>
    <col min="8" max="8" width="12.875" style="80" customWidth="1"/>
    <col min="9" max="9" width="14.375" style="80" customWidth="1"/>
    <col min="10" max="10" width="12.625" style="80" customWidth="1"/>
    <col min="11" max="12" width="13.875" style="80" customWidth="1"/>
    <col min="13" max="13" width="12.25390625" style="80" customWidth="1"/>
    <col min="14" max="14" width="12.875" style="80" customWidth="1"/>
    <col min="15" max="15" width="14.00390625" style="80" customWidth="1"/>
    <col min="16" max="16" width="15.375" style="82" customWidth="1"/>
    <col min="17" max="17" width="13.00390625" style="82" customWidth="1"/>
    <col min="18" max="18" width="14.25390625" style="82" hidden="1" customWidth="1"/>
    <col min="19" max="19" width="15.75390625" style="80" customWidth="1"/>
    <col min="20" max="20" width="15.75390625" style="80" hidden="1" customWidth="1"/>
    <col min="21" max="21" width="12.75390625" style="80" customWidth="1"/>
    <col min="22" max="22" width="11.125" style="80" customWidth="1"/>
    <col min="23" max="23" width="12.625" style="80" customWidth="1"/>
    <col min="24" max="24" width="13.00390625" style="80" customWidth="1"/>
    <col min="25" max="25" width="9.875" style="80" customWidth="1"/>
    <col min="26" max="26" width="12.00390625" style="80" customWidth="1"/>
    <col min="27" max="31" width="9.875" style="80" customWidth="1"/>
    <col min="32" max="32" width="11.125" style="80" customWidth="1"/>
    <col min="33" max="34" width="9.875" style="80" customWidth="1"/>
    <col min="35" max="35" width="10.875" style="80" customWidth="1"/>
    <col min="36" max="36" width="10.75390625" style="80" customWidth="1"/>
    <col min="37" max="38" width="9.875" style="80" customWidth="1"/>
    <col min="39" max="39" width="12.75390625" style="80" customWidth="1"/>
    <col min="40" max="40" width="16.25390625" style="80" customWidth="1"/>
    <col min="41" max="41" width="9.875" style="80" customWidth="1"/>
    <col min="42" max="42" width="11.625" style="80" customWidth="1"/>
    <col min="43" max="43" width="10.875" style="80" customWidth="1"/>
    <col min="44" max="44" width="12.25390625" style="80" customWidth="1"/>
    <col min="45" max="48" width="10.625" style="80" customWidth="1"/>
    <col min="49" max="49" width="11.625" style="80" customWidth="1"/>
    <col min="50" max="50" width="12.25390625" style="80" customWidth="1"/>
    <col min="51" max="51" width="12.875" style="80" customWidth="1"/>
    <col min="52" max="52" width="12.00390625" style="80" customWidth="1"/>
    <col min="53" max="53" width="16.75390625" style="80" hidden="1" customWidth="1"/>
    <col min="54" max="54" width="12.00390625" style="80" customWidth="1"/>
    <col min="55" max="55" width="16.875" style="80" hidden="1" customWidth="1"/>
    <col min="56" max="56" width="14.625" style="80" customWidth="1"/>
    <col min="57" max="57" width="16.625" style="80" hidden="1" customWidth="1"/>
    <col min="58" max="58" width="13.00390625" style="80" customWidth="1"/>
    <col min="59" max="59" width="17.375" style="80" hidden="1" customWidth="1"/>
    <col min="60" max="60" width="14.125" style="80" customWidth="1"/>
    <col min="61" max="61" width="16.875" style="80" hidden="1" customWidth="1"/>
    <col min="62" max="62" width="14.00390625" style="80" customWidth="1"/>
    <col min="63" max="63" width="18.00390625" style="80" hidden="1" customWidth="1"/>
    <col min="64" max="64" width="14.625" style="80" customWidth="1"/>
    <col min="65" max="65" width="17.375" style="80" hidden="1" customWidth="1"/>
    <col min="66" max="66" width="12.25390625" style="80" customWidth="1"/>
    <col min="67" max="67" width="16.875" style="80" hidden="1" customWidth="1"/>
    <col min="68" max="68" width="14.25390625" style="80" customWidth="1"/>
    <col min="69" max="69" width="14.25390625" style="80" hidden="1" customWidth="1"/>
    <col min="70" max="70" width="14.25390625" style="80" customWidth="1"/>
    <col min="71" max="71" width="16.875" style="80" hidden="1" customWidth="1"/>
    <col min="72" max="72" width="17.75390625" style="80" customWidth="1"/>
    <col min="73" max="16384" width="9.125" style="1" customWidth="1"/>
  </cols>
  <sheetData>
    <row r="1" spans="1:72" ht="18" customHeight="1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9"/>
    </row>
    <row r="2" spans="1:72" ht="12.7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9"/>
    </row>
    <row r="3" spans="1:72" ht="18.75" customHeight="1" hidden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09"/>
    </row>
    <row r="4" spans="1:72" ht="18.75" customHeight="1" thickBot="1">
      <c r="A4" s="111" t="s">
        <v>2</v>
      </c>
      <c r="B4" s="113" t="s">
        <v>1</v>
      </c>
      <c r="C4" s="115" t="s">
        <v>81</v>
      </c>
      <c r="D4" s="93" t="s">
        <v>104</v>
      </c>
      <c r="E4" s="95" t="s">
        <v>105</v>
      </c>
      <c r="F4" s="117" t="s">
        <v>75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20" t="s">
        <v>82</v>
      </c>
      <c r="S4" s="106" t="s">
        <v>76</v>
      </c>
      <c r="T4" s="117" t="s">
        <v>79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9"/>
      <c r="BA4" s="104" t="s">
        <v>84</v>
      </c>
      <c r="BB4" s="102" t="s">
        <v>106</v>
      </c>
      <c r="BC4" s="104" t="s">
        <v>85</v>
      </c>
      <c r="BD4" s="96" t="s">
        <v>107</v>
      </c>
      <c r="BE4" s="104" t="s">
        <v>86</v>
      </c>
      <c r="BF4" s="100" t="s">
        <v>108</v>
      </c>
      <c r="BG4" s="104" t="s">
        <v>87</v>
      </c>
      <c r="BH4" s="96" t="s">
        <v>109</v>
      </c>
      <c r="BI4" s="104" t="s">
        <v>88</v>
      </c>
      <c r="BJ4" s="123" t="s">
        <v>110</v>
      </c>
      <c r="BK4" s="104" t="s">
        <v>89</v>
      </c>
      <c r="BL4" s="98" t="s">
        <v>111</v>
      </c>
      <c r="BM4" s="104" t="s">
        <v>90</v>
      </c>
      <c r="BN4" s="91" t="s">
        <v>112</v>
      </c>
      <c r="BO4" s="104" t="s">
        <v>91</v>
      </c>
      <c r="BP4" s="91" t="s">
        <v>113</v>
      </c>
      <c r="BQ4" s="104" t="s">
        <v>96</v>
      </c>
      <c r="BR4" s="91" t="s">
        <v>114</v>
      </c>
      <c r="BS4" s="104" t="s">
        <v>92</v>
      </c>
      <c r="BT4" s="106" t="s">
        <v>8</v>
      </c>
    </row>
    <row r="5" spans="1:72" ht="142.5" thickBot="1">
      <c r="A5" s="112"/>
      <c r="B5" s="114"/>
      <c r="C5" s="116"/>
      <c r="D5" s="94"/>
      <c r="E5" s="94"/>
      <c r="F5" s="3" t="s">
        <v>80</v>
      </c>
      <c r="G5" s="2" t="s">
        <v>65</v>
      </c>
      <c r="H5" s="2" t="s">
        <v>63</v>
      </c>
      <c r="I5" s="2" t="s">
        <v>101</v>
      </c>
      <c r="J5" s="2" t="s">
        <v>64</v>
      </c>
      <c r="K5" s="2" t="s">
        <v>98</v>
      </c>
      <c r="L5" s="2" t="s">
        <v>97</v>
      </c>
      <c r="M5" s="2" t="s">
        <v>39</v>
      </c>
      <c r="N5" s="2" t="s">
        <v>68</v>
      </c>
      <c r="O5" s="2" t="s">
        <v>67</v>
      </c>
      <c r="P5" s="4" t="s">
        <v>66</v>
      </c>
      <c r="Q5" s="5" t="s">
        <v>77</v>
      </c>
      <c r="R5" s="121"/>
      <c r="S5" s="107"/>
      <c r="T5" s="6" t="s">
        <v>83</v>
      </c>
      <c r="U5" s="7" t="s">
        <v>99</v>
      </c>
      <c r="V5" s="8" t="s">
        <v>7</v>
      </c>
      <c r="W5" s="2" t="s">
        <v>43</v>
      </c>
      <c r="X5" s="2" t="s">
        <v>44</v>
      </c>
      <c r="Y5" s="2" t="s">
        <v>45</v>
      </c>
      <c r="Z5" s="2" t="s">
        <v>69</v>
      </c>
      <c r="AA5" s="2" t="s">
        <v>40</v>
      </c>
      <c r="AB5" s="2" t="s">
        <v>46</v>
      </c>
      <c r="AC5" s="2" t="s">
        <v>47</v>
      </c>
      <c r="AD5" s="2" t="s">
        <v>48</v>
      </c>
      <c r="AE5" s="2" t="s">
        <v>49</v>
      </c>
      <c r="AF5" s="2" t="s">
        <v>50</v>
      </c>
      <c r="AG5" s="2" t="s">
        <v>51</v>
      </c>
      <c r="AH5" s="2" t="s">
        <v>52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102</v>
      </c>
      <c r="AN5" s="2" t="s">
        <v>60</v>
      </c>
      <c r="AO5" s="2" t="s">
        <v>53</v>
      </c>
      <c r="AP5" s="2" t="s">
        <v>54</v>
      </c>
      <c r="AQ5" s="2" t="s">
        <v>55</v>
      </c>
      <c r="AR5" s="2" t="s">
        <v>41</v>
      </c>
      <c r="AS5" s="2" t="s">
        <v>42</v>
      </c>
      <c r="AT5" s="2" t="s">
        <v>70</v>
      </c>
      <c r="AU5" s="2" t="s">
        <v>71</v>
      </c>
      <c r="AV5" s="2" t="s">
        <v>72</v>
      </c>
      <c r="AW5" s="2" t="s">
        <v>73</v>
      </c>
      <c r="AX5" s="2" t="s">
        <v>74</v>
      </c>
      <c r="AY5" s="9" t="s">
        <v>100</v>
      </c>
      <c r="AZ5" s="5" t="s">
        <v>78</v>
      </c>
      <c r="BA5" s="105"/>
      <c r="BB5" s="103"/>
      <c r="BC5" s="105"/>
      <c r="BD5" s="97"/>
      <c r="BE5" s="105"/>
      <c r="BF5" s="101"/>
      <c r="BG5" s="105"/>
      <c r="BH5" s="97"/>
      <c r="BI5" s="105"/>
      <c r="BJ5" s="123"/>
      <c r="BK5" s="105"/>
      <c r="BL5" s="99"/>
      <c r="BM5" s="105"/>
      <c r="BN5" s="92"/>
      <c r="BO5" s="105"/>
      <c r="BP5" s="92"/>
      <c r="BQ5" s="105"/>
      <c r="BR5" s="92"/>
      <c r="BS5" s="105"/>
      <c r="BT5" s="107"/>
    </row>
    <row r="6" spans="1:72" ht="22.5" customHeight="1" thickBot="1">
      <c r="A6" s="10">
        <v>1</v>
      </c>
      <c r="B6" s="11" t="s">
        <v>13</v>
      </c>
      <c r="C6" s="12">
        <f>467368+102821</f>
        <v>570189</v>
      </c>
      <c r="D6" s="13">
        <f>(284872.88+112875.16)*1.00693</f>
        <v>400504.4339172001</v>
      </c>
      <c r="E6" s="13">
        <f>(62818.7+25103.77)*1.016867</f>
        <v>89405.45830149</v>
      </c>
      <c r="F6" s="14">
        <v>14487</v>
      </c>
      <c r="G6" s="15"/>
      <c r="H6" s="15"/>
      <c r="I6" s="15"/>
      <c r="J6" s="15">
        <v>2752</v>
      </c>
      <c r="K6" s="15"/>
      <c r="L6" s="15"/>
      <c r="M6" s="15"/>
      <c r="N6" s="15"/>
      <c r="O6" s="15"/>
      <c r="P6" s="15"/>
      <c r="Q6" s="16">
        <f>SUM(G6:P6)</f>
        <v>2752</v>
      </c>
      <c r="R6" s="17">
        <v>84536.6737</v>
      </c>
      <c r="S6" s="89">
        <f>2163.36+31279.81</f>
        <v>33443.17</v>
      </c>
      <c r="T6" s="19">
        <f>3241*1.53625</f>
        <v>4978.98625</v>
      </c>
      <c r="U6" s="20"/>
      <c r="V6" s="13">
        <v>214.8</v>
      </c>
      <c r="W6" s="21"/>
      <c r="X6" s="21"/>
      <c r="Y6" s="21"/>
      <c r="Z6" s="21">
        <v>570</v>
      </c>
      <c r="AA6" s="21">
        <v>1083.6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2"/>
      <c r="AZ6" s="22">
        <f>SUM(U6:AY6)</f>
        <v>1868.3999999999999</v>
      </c>
      <c r="BA6" s="23">
        <v>330</v>
      </c>
      <c r="BB6" s="24"/>
      <c r="BC6" s="25">
        <f>34837*1.1002343</f>
        <v>38328.862309100004</v>
      </c>
      <c r="BD6" s="26">
        <v>156736.65</v>
      </c>
      <c r="BE6" s="25">
        <v>1033</v>
      </c>
      <c r="BF6" s="15">
        <v>523.74</v>
      </c>
      <c r="BG6" s="25">
        <f>4031*1.035794</f>
        <v>4175.285614</v>
      </c>
      <c r="BH6" s="22">
        <v>5449.89</v>
      </c>
      <c r="BI6" s="27">
        <v>-11901</v>
      </c>
      <c r="BJ6" s="22"/>
      <c r="BK6" s="27"/>
      <c r="BL6" s="18"/>
      <c r="BM6" s="28">
        <f aca="true" t="shared" si="0" ref="BM6:BM13">153*1.11235</f>
        <v>170.18955</v>
      </c>
      <c r="BN6" s="23"/>
      <c r="BO6" s="29">
        <v>2100</v>
      </c>
      <c r="BP6" s="23"/>
      <c r="BQ6" s="30"/>
      <c r="BR6" s="30"/>
      <c r="BS6" s="88">
        <f>C6+F6+R6+T6+BA6+BC6+BE6+BG6+BI6+BK6+BM6+BO6+BQ6</f>
        <v>708427.9974231</v>
      </c>
      <c r="BT6" s="31">
        <f>D6+E6+Q6+S6+AZ6+BB6+BD6+BF6+BH6+BJ6+BL6+BN6+BP6+BR6</f>
        <v>690683.7422186901</v>
      </c>
    </row>
    <row r="7" spans="1:72" ht="16.5" thickBot="1">
      <c r="A7" s="32">
        <v>2</v>
      </c>
      <c r="B7" s="32" t="s">
        <v>4</v>
      </c>
      <c r="C7" s="33">
        <f>653615+143795</f>
        <v>797410</v>
      </c>
      <c r="D7" s="34">
        <f>(470389.33+95796.79)*1.00693</f>
        <v>570109.7898116</v>
      </c>
      <c r="E7" s="34">
        <f>(101719.51+21908.74)*1.016867</f>
        <v>125713.48769275</v>
      </c>
      <c r="F7" s="35">
        <v>10712</v>
      </c>
      <c r="G7" s="36"/>
      <c r="H7" s="36"/>
      <c r="I7" s="15"/>
      <c r="J7" s="36">
        <v>4641</v>
      </c>
      <c r="K7" s="36"/>
      <c r="L7" s="36"/>
      <c r="M7" s="36"/>
      <c r="N7" s="36"/>
      <c r="O7" s="36"/>
      <c r="P7" s="37"/>
      <c r="Q7" s="37">
        <f aca="true" t="shared" si="1" ref="Q7:Q54">SUM(G7:P7)</f>
        <v>4641</v>
      </c>
      <c r="R7" s="38">
        <v>154470.4048</v>
      </c>
      <c r="S7" s="90">
        <v>23620.64</v>
      </c>
      <c r="T7" s="40">
        <f>1876*1.53625</f>
        <v>2882.0049999999997</v>
      </c>
      <c r="U7" s="41"/>
      <c r="V7" s="42">
        <v>472.55</v>
      </c>
      <c r="W7" s="42"/>
      <c r="X7" s="42"/>
      <c r="Y7" s="42"/>
      <c r="Z7" s="42"/>
      <c r="AA7" s="42">
        <v>1857.6</v>
      </c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22">
        <v>73494.24</v>
      </c>
      <c r="AZ7" s="43">
        <f aca="true" t="shared" si="2" ref="AZ7:AZ54">SUM(U7:AY7)</f>
        <v>75824.39</v>
      </c>
      <c r="BA7" s="44">
        <v>461</v>
      </c>
      <c r="BB7" s="45">
        <v>2044</v>
      </c>
      <c r="BC7" s="46">
        <f>55431*1.100234</f>
        <v>60987.070854</v>
      </c>
      <c r="BD7" s="47"/>
      <c r="BE7" s="46">
        <v>5127</v>
      </c>
      <c r="BF7" s="36">
        <v>6525.03</v>
      </c>
      <c r="BG7" s="46">
        <f>12513*1.035794</f>
        <v>12960.890322000001</v>
      </c>
      <c r="BH7" s="43">
        <v>13605.25</v>
      </c>
      <c r="BI7" s="48"/>
      <c r="BJ7" s="43"/>
      <c r="BK7" s="48"/>
      <c r="BL7" s="39"/>
      <c r="BM7" s="28">
        <f t="shared" si="0"/>
        <v>170.18955</v>
      </c>
      <c r="BN7" s="44"/>
      <c r="BO7" s="49">
        <v>700</v>
      </c>
      <c r="BP7" s="44"/>
      <c r="BQ7" s="44"/>
      <c r="BR7" s="23"/>
      <c r="BS7" s="88">
        <f>C7+F7+R7+T7+BA7+BC7+BE7+BG7+BI7+BK7+BM7+BO7+BQ7</f>
        <v>1045880.5605260001</v>
      </c>
      <c r="BT7" s="31">
        <f aca="true" t="shared" si="3" ref="BT7:BT54">D7+E7+Q7+S7+AZ7+BB7+BD7+BF7+BH7+BJ7+BL7+BN7+BP7+BR7</f>
        <v>822083.5875043501</v>
      </c>
    </row>
    <row r="8" spans="1:72" ht="16.5" thickBot="1">
      <c r="A8" s="32">
        <v>3</v>
      </c>
      <c r="B8" s="32" t="s">
        <v>14</v>
      </c>
      <c r="C8" s="33">
        <f>262107+57664</f>
        <v>319771</v>
      </c>
      <c r="D8" s="34">
        <f>(157587.15+57429.77)*1.00693</f>
        <v>216506.98725560002</v>
      </c>
      <c r="E8" s="34">
        <f>(36644.39+12652.45)*1.016867</f>
        <v>50128.32980027999</v>
      </c>
      <c r="F8" s="35">
        <v>4074</v>
      </c>
      <c r="G8" s="36"/>
      <c r="H8" s="36"/>
      <c r="I8" s="15"/>
      <c r="J8" s="36">
        <v>2235</v>
      </c>
      <c r="K8" s="36"/>
      <c r="L8" s="36"/>
      <c r="M8" s="36"/>
      <c r="N8" s="36"/>
      <c r="O8" s="36"/>
      <c r="P8" s="37"/>
      <c r="Q8" s="37">
        <f t="shared" si="1"/>
        <v>2235</v>
      </c>
      <c r="R8" s="38">
        <v>46659.4444</v>
      </c>
      <c r="S8" s="90">
        <v>23799.68</v>
      </c>
      <c r="T8" s="40">
        <f>2001*1.53625</f>
        <v>3074.0362499999997</v>
      </c>
      <c r="U8" s="41"/>
      <c r="V8" s="42">
        <v>180.02</v>
      </c>
      <c r="W8" s="42"/>
      <c r="X8" s="42"/>
      <c r="Y8" s="42"/>
      <c r="Z8" s="42"/>
      <c r="AA8" s="42">
        <v>774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3"/>
      <c r="AZ8" s="43">
        <f t="shared" si="2"/>
        <v>954.02</v>
      </c>
      <c r="BA8" s="44">
        <v>835</v>
      </c>
      <c r="BB8" s="45">
        <v>240</v>
      </c>
      <c r="BC8" s="46">
        <f>11382*1.100234</f>
        <v>12522.863388</v>
      </c>
      <c r="BD8" s="47"/>
      <c r="BE8" s="46"/>
      <c r="BF8" s="36"/>
      <c r="BG8" s="46">
        <f>3326*1.035794</f>
        <v>3445.0508440000003</v>
      </c>
      <c r="BH8" s="43">
        <v>2363.2</v>
      </c>
      <c r="BI8" s="48"/>
      <c r="BJ8" s="43"/>
      <c r="BK8" s="48"/>
      <c r="BL8" s="39"/>
      <c r="BM8" s="28">
        <f t="shared" si="0"/>
        <v>170.18955</v>
      </c>
      <c r="BN8" s="44"/>
      <c r="BO8" s="49"/>
      <c r="BP8" s="44"/>
      <c r="BQ8" s="44"/>
      <c r="BR8" s="23"/>
      <c r="BS8" s="88">
        <f>C8+F8+R8+T8+BA8+BC8+BE8+BG8+BI8+BK8+BM8+BO8+BQ8</f>
        <v>390551.584432</v>
      </c>
      <c r="BT8" s="31">
        <f t="shared" si="3"/>
        <v>296227.21705588006</v>
      </c>
    </row>
    <row r="9" spans="1:72" ht="16.5" thickBot="1">
      <c r="A9" s="32">
        <v>4</v>
      </c>
      <c r="B9" s="32" t="s">
        <v>15</v>
      </c>
      <c r="C9" s="33">
        <f>190419+41892</f>
        <v>232311</v>
      </c>
      <c r="D9" s="34">
        <f>(123645.66+30765.52)*1.00693</f>
        <v>155481.2494774</v>
      </c>
      <c r="E9" s="34">
        <f>(27740.22+6881.12)*1.016867</f>
        <v>35205.298141780004</v>
      </c>
      <c r="F9" s="35">
        <v>2149</v>
      </c>
      <c r="G9" s="36"/>
      <c r="H9" s="36"/>
      <c r="I9" s="15"/>
      <c r="J9" s="36">
        <v>1360</v>
      </c>
      <c r="K9" s="36"/>
      <c r="L9" s="36"/>
      <c r="M9" s="36"/>
      <c r="N9" s="36"/>
      <c r="O9" s="36"/>
      <c r="P9" s="37"/>
      <c r="Q9" s="37">
        <f t="shared" si="1"/>
        <v>1360</v>
      </c>
      <c r="R9" s="38">
        <v>16033.1785</v>
      </c>
      <c r="S9" s="90">
        <v>6904.49</v>
      </c>
      <c r="T9" s="40">
        <f>1566*1.53625</f>
        <v>2405.7675</v>
      </c>
      <c r="U9" s="41"/>
      <c r="V9" s="42"/>
      <c r="W9" s="42"/>
      <c r="X9" s="42"/>
      <c r="Y9" s="42"/>
      <c r="Z9" s="42"/>
      <c r="AA9" s="42">
        <v>774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3"/>
      <c r="AZ9" s="43">
        <f t="shared" si="2"/>
        <v>774</v>
      </c>
      <c r="BA9" s="44">
        <v>391</v>
      </c>
      <c r="BB9" s="45"/>
      <c r="BC9" s="46">
        <f>14825*1.100234</f>
        <v>16310.96905</v>
      </c>
      <c r="BD9" s="47">
        <v>52703.98</v>
      </c>
      <c r="BE9" s="46"/>
      <c r="BF9" s="36"/>
      <c r="BG9" s="46">
        <f>1278*1.035794</f>
        <v>1323.744732</v>
      </c>
      <c r="BH9" s="43"/>
      <c r="BI9" s="48"/>
      <c r="BJ9" s="43"/>
      <c r="BK9" s="48"/>
      <c r="BL9" s="39"/>
      <c r="BM9" s="28">
        <f t="shared" si="0"/>
        <v>170.18955</v>
      </c>
      <c r="BN9" s="44"/>
      <c r="BO9" s="49"/>
      <c r="BP9" s="44"/>
      <c r="BQ9" s="44"/>
      <c r="BR9" s="23"/>
      <c r="BS9" s="88">
        <f>C9+F9+R9+T9+BA9+BC9+BE9+BG9+BI9+BK9+BM9+BO9+BQ9</f>
        <v>271094.849332</v>
      </c>
      <c r="BT9" s="31">
        <f t="shared" si="3"/>
        <v>252429.01761918</v>
      </c>
    </row>
    <row r="10" spans="1:72" ht="16.5" thickBot="1">
      <c r="A10" s="32">
        <v>5</v>
      </c>
      <c r="B10" s="32" t="s">
        <v>16</v>
      </c>
      <c r="C10" s="33">
        <f>115711+25456</f>
        <v>141167</v>
      </c>
      <c r="D10" s="34">
        <f>(69007.92+30098.69)*1.00693</f>
        <v>99793.41880730001</v>
      </c>
      <c r="E10" s="34">
        <f>(15181.74+7219.47)*1.016867</f>
        <v>22779.05120907</v>
      </c>
      <c r="F10" s="35">
        <v>2582</v>
      </c>
      <c r="G10" s="36"/>
      <c r="H10" s="36"/>
      <c r="I10" s="15"/>
      <c r="J10" s="36">
        <v>2235</v>
      </c>
      <c r="K10" s="36"/>
      <c r="L10" s="36"/>
      <c r="M10" s="36"/>
      <c r="N10" s="36"/>
      <c r="O10" s="36"/>
      <c r="P10" s="36"/>
      <c r="Q10" s="37">
        <f t="shared" si="1"/>
        <v>2235</v>
      </c>
      <c r="R10" s="38">
        <v>8861.0567</v>
      </c>
      <c r="S10" s="90">
        <v>6314.29</v>
      </c>
      <c r="T10" s="40">
        <f>1580*1.53625</f>
        <v>2427.2749999999996</v>
      </c>
      <c r="U10" s="41"/>
      <c r="V10" s="42"/>
      <c r="W10" s="42"/>
      <c r="X10" s="42"/>
      <c r="Y10" s="42"/>
      <c r="Z10" s="42"/>
      <c r="AA10" s="42">
        <v>464.4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3"/>
      <c r="AZ10" s="43">
        <f t="shared" si="2"/>
        <v>464.4</v>
      </c>
      <c r="BA10" s="44">
        <v>308</v>
      </c>
      <c r="BB10" s="45"/>
      <c r="BC10" s="46">
        <f>39430*1.100234</f>
        <v>43382.226619999994</v>
      </c>
      <c r="BD10" s="47"/>
      <c r="BE10" s="46">
        <v>90</v>
      </c>
      <c r="BF10" s="36"/>
      <c r="BG10" s="46">
        <f>1476*1.035794</f>
        <v>1528.8319440000002</v>
      </c>
      <c r="BH10" s="43">
        <v>542.55</v>
      </c>
      <c r="BI10" s="48"/>
      <c r="BJ10" s="43"/>
      <c r="BK10" s="48"/>
      <c r="BL10" s="39"/>
      <c r="BM10" s="28">
        <f t="shared" si="0"/>
        <v>170.18955</v>
      </c>
      <c r="BN10" s="44">
        <v>1040</v>
      </c>
      <c r="BO10" s="49"/>
      <c r="BP10" s="44"/>
      <c r="BQ10" s="44"/>
      <c r="BR10" s="23"/>
      <c r="BS10" s="88">
        <f>C10+F10+R10+T10+BA10+BC10+BE10+BG10+BI10+BK10+BM10+BO10+BQ10</f>
        <v>200516.579814</v>
      </c>
      <c r="BT10" s="31">
        <f t="shared" si="3"/>
        <v>133168.71001637</v>
      </c>
    </row>
    <row r="11" spans="1:72" ht="16.5" thickBot="1">
      <c r="A11" s="32">
        <v>6</v>
      </c>
      <c r="B11" s="50" t="s">
        <v>9</v>
      </c>
      <c r="C11" s="33">
        <f>429571+94506</f>
        <v>524077</v>
      </c>
      <c r="D11" s="34">
        <f>(303411.17+77543.56)*1.00693</f>
        <v>383594.7462789</v>
      </c>
      <c r="E11" s="34">
        <f>(62428.57+16844.99)*1.016867</f>
        <v>80610.66713652</v>
      </c>
      <c r="F11" s="35">
        <v>21386</v>
      </c>
      <c r="G11" s="36"/>
      <c r="H11" s="36"/>
      <c r="I11" s="15"/>
      <c r="J11" s="36">
        <v>3896</v>
      </c>
      <c r="K11" s="36"/>
      <c r="L11" s="36"/>
      <c r="M11" s="36"/>
      <c r="N11" s="36"/>
      <c r="O11" s="36"/>
      <c r="P11" s="36"/>
      <c r="Q11" s="37">
        <f t="shared" si="1"/>
        <v>3896</v>
      </c>
      <c r="R11" s="38">
        <v>69799.454</v>
      </c>
      <c r="S11" s="90">
        <v>35586.69</v>
      </c>
      <c r="T11" s="40">
        <f>2792*1.53625</f>
        <v>4289.21</v>
      </c>
      <c r="U11" s="41"/>
      <c r="V11" s="42">
        <v>677.63</v>
      </c>
      <c r="W11" s="42"/>
      <c r="X11" s="34"/>
      <c r="Y11" s="42"/>
      <c r="Z11" s="42">
        <v>570</v>
      </c>
      <c r="AA11" s="42">
        <v>1238.4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3">
        <f>38712.08-0.5</f>
        <v>38711.58</v>
      </c>
      <c r="AZ11" s="43">
        <f t="shared" si="2"/>
        <v>41197.61</v>
      </c>
      <c r="BA11" s="44">
        <v>840</v>
      </c>
      <c r="BB11" s="45">
        <v>1744</v>
      </c>
      <c r="BC11" s="46">
        <f>53884*1.100234</f>
        <v>59285.00885599999</v>
      </c>
      <c r="BD11" s="47"/>
      <c r="BE11" s="46">
        <v>3423</v>
      </c>
      <c r="BF11" s="36">
        <v>1563.22</v>
      </c>
      <c r="BG11" s="46">
        <f>5551*1.035794</f>
        <v>5749.692494000001</v>
      </c>
      <c r="BH11" s="43"/>
      <c r="BI11" s="48"/>
      <c r="BJ11" s="43"/>
      <c r="BK11" s="48"/>
      <c r="BL11" s="39"/>
      <c r="BM11" s="28">
        <f t="shared" si="0"/>
        <v>170.18955</v>
      </c>
      <c r="BN11" s="44"/>
      <c r="BO11" s="49"/>
      <c r="BP11" s="44"/>
      <c r="BQ11" s="44"/>
      <c r="BR11" s="23"/>
      <c r="BS11" s="88">
        <f>C11+F11+R11+T11+BA11+BC11+BE11+BG11+BI11+BK11+BM11+BO11+BQ11</f>
        <v>689019.5549</v>
      </c>
      <c r="BT11" s="31">
        <f t="shared" si="3"/>
        <v>548192.93341542</v>
      </c>
    </row>
    <row r="12" spans="1:72" ht="16.5" thickBot="1">
      <c r="A12" s="32">
        <v>7</v>
      </c>
      <c r="B12" s="32" t="s">
        <v>17</v>
      </c>
      <c r="C12" s="33">
        <f>245816+54079</f>
        <v>299895</v>
      </c>
      <c r="D12" s="34">
        <f>(163286.62+37070.38)*1.00693</f>
        <v>201745.47401000003</v>
      </c>
      <c r="E12" s="34">
        <f>(34624.84+7662.32)*1.016867</f>
        <v>43000.41752772</v>
      </c>
      <c r="F12" s="35">
        <v>3312</v>
      </c>
      <c r="G12" s="36"/>
      <c r="H12" s="36"/>
      <c r="I12" s="15"/>
      <c r="J12" s="36">
        <v>1838</v>
      </c>
      <c r="K12" s="36"/>
      <c r="L12" s="36"/>
      <c r="M12" s="36"/>
      <c r="N12" s="36"/>
      <c r="O12" s="36"/>
      <c r="P12" s="36"/>
      <c r="Q12" s="37">
        <f t="shared" si="1"/>
        <v>1838</v>
      </c>
      <c r="R12" s="38">
        <v>27944.4196</v>
      </c>
      <c r="S12" s="90">
        <v>14922.57</v>
      </c>
      <c r="T12" s="40">
        <f>1403*1.53625</f>
        <v>2155.35875</v>
      </c>
      <c r="U12" s="41"/>
      <c r="V12" s="42"/>
      <c r="W12" s="34">
        <v>3120</v>
      </c>
      <c r="X12" s="42"/>
      <c r="Y12" s="42"/>
      <c r="Z12" s="42"/>
      <c r="AA12" s="42">
        <v>619.2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3"/>
      <c r="AZ12" s="43">
        <f t="shared" si="2"/>
        <v>3739.2</v>
      </c>
      <c r="BA12" s="44">
        <v>467</v>
      </c>
      <c r="BB12" s="45">
        <v>864</v>
      </c>
      <c r="BC12" s="46">
        <f>15213*1.100234</f>
        <v>16737.859841999998</v>
      </c>
      <c r="BD12" s="47"/>
      <c r="BE12" s="46">
        <v>104</v>
      </c>
      <c r="BF12" s="36">
        <v>220.5</v>
      </c>
      <c r="BG12" s="46">
        <f>1344*1.035794</f>
        <v>1392.107136</v>
      </c>
      <c r="BH12" s="43"/>
      <c r="BI12" s="48"/>
      <c r="BJ12" s="43"/>
      <c r="BK12" s="48"/>
      <c r="BL12" s="39"/>
      <c r="BM12" s="28">
        <f t="shared" si="0"/>
        <v>170.18955</v>
      </c>
      <c r="BN12" s="44"/>
      <c r="BO12" s="49"/>
      <c r="BP12" s="44"/>
      <c r="BQ12" s="44"/>
      <c r="BR12" s="23"/>
      <c r="BS12" s="88">
        <f>C12+F12+R12+T12+BA12+BC12+BE12+BG12+BI12+BK12+BM12+BO12+BQ12</f>
        <v>352177.93487800006</v>
      </c>
      <c r="BT12" s="31">
        <f t="shared" si="3"/>
        <v>266330.16153772007</v>
      </c>
    </row>
    <row r="13" spans="1:72" ht="16.5" thickBot="1">
      <c r="A13" s="32">
        <v>8</v>
      </c>
      <c r="B13" s="32" t="s">
        <v>18</v>
      </c>
      <c r="C13" s="33">
        <f>498178+109599</f>
        <v>607777</v>
      </c>
      <c r="D13" s="34">
        <f>(323427.69+105365.06)*1.00693</f>
        <v>431764.28375750006</v>
      </c>
      <c r="E13" s="34">
        <f>(71165.41+22591.18)*1.016867</f>
        <v>95337.98240353</v>
      </c>
      <c r="F13" s="35">
        <v>8995</v>
      </c>
      <c r="G13" s="36"/>
      <c r="H13" s="36"/>
      <c r="I13" s="15"/>
      <c r="J13" s="36">
        <v>4580</v>
      </c>
      <c r="K13" s="36"/>
      <c r="L13" s="36"/>
      <c r="M13" s="36"/>
      <c r="N13" s="36"/>
      <c r="O13" s="36"/>
      <c r="P13" s="36"/>
      <c r="Q13" s="37">
        <f t="shared" si="1"/>
        <v>4580</v>
      </c>
      <c r="R13" s="38">
        <v>98189.8214</v>
      </c>
      <c r="S13" s="90">
        <v>20449.95</v>
      </c>
      <c r="T13" s="40">
        <f>1835*1.53625</f>
        <v>2819.0187499999997</v>
      </c>
      <c r="U13" s="41"/>
      <c r="V13" s="42">
        <v>551.04</v>
      </c>
      <c r="W13" s="42"/>
      <c r="X13" s="42"/>
      <c r="Y13" s="42"/>
      <c r="Z13" s="42"/>
      <c r="AA13" s="42">
        <v>1393.2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3"/>
      <c r="AZ13" s="43">
        <f t="shared" si="2"/>
        <v>1944.24</v>
      </c>
      <c r="BA13" s="44">
        <v>855</v>
      </c>
      <c r="BB13" s="45"/>
      <c r="BC13" s="46">
        <f>70051*1.100234</f>
        <v>77072.49193399999</v>
      </c>
      <c r="BD13" s="47"/>
      <c r="BE13" s="46">
        <v>3032</v>
      </c>
      <c r="BF13" s="36">
        <f>7534.56-1941.79</f>
        <v>5592.77</v>
      </c>
      <c r="BG13" s="46">
        <f>6609*1.035794</f>
        <v>6845.562546000001</v>
      </c>
      <c r="BH13" s="43"/>
      <c r="BI13" s="48"/>
      <c r="BJ13" s="43"/>
      <c r="BK13" s="48"/>
      <c r="BL13" s="39"/>
      <c r="BM13" s="28">
        <f t="shared" si="0"/>
        <v>170.18955</v>
      </c>
      <c r="BN13" s="44"/>
      <c r="BO13" s="49">
        <v>800</v>
      </c>
      <c r="BP13" s="44"/>
      <c r="BQ13" s="44"/>
      <c r="BR13" s="23"/>
      <c r="BS13" s="88">
        <f>C13+F13+R13+T13+BA13+BC13+BE13+BG13+BI13+BK13+BM13+BO13+BQ13</f>
        <v>806556.0841800001</v>
      </c>
      <c r="BT13" s="31">
        <f t="shared" si="3"/>
        <v>559669.22616103</v>
      </c>
    </row>
    <row r="14" spans="1:72" ht="16.5" thickBot="1">
      <c r="A14" s="32">
        <v>9</v>
      </c>
      <c r="B14" s="50" t="s">
        <v>19</v>
      </c>
      <c r="C14" s="33">
        <f>240754+52966</f>
        <v>293720</v>
      </c>
      <c r="D14" s="34">
        <f>(139765.33+54973.82)*1.00693</f>
        <v>196088.6923095</v>
      </c>
      <c r="E14" s="34">
        <f>(30748.37+12094.24)*1.016867</f>
        <v>43565.23630287</v>
      </c>
      <c r="F14" s="35">
        <v>19085</v>
      </c>
      <c r="G14" s="36"/>
      <c r="H14" s="36"/>
      <c r="I14" s="15"/>
      <c r="J14" s="36">
        <v>3102</v>
      </c>
      <c r="K14" s="36"/>
      <c r="L14" s="36"/>
      <c r="M14" s="36"/>
      <c r="N14" s="36"/>
      <c r="O14" s="36"/>
      <c r="P14" s="36"/>
      <c r="Q14" s="37">
        <f t="shared" si="1"/>
        <v>3102</v>
      </c>
      <c r="R14" s="38">
        <v>26346.6453</v>
      </c>
      <c r="S14" s="90">
        <v>10735.95</v>
      </c>
      <c r="T14" s="40">
        <f>2481*1.53625</f>
        <v>3811.4362499999997</v>
      </c>
      <c r="U14" s="41"/>
      <c r="V14" s="34">
        <v>210</v>
      </c>
      <c r="W14" s="42"/>
      <c r="X14" s="42"/>
      <c r="Y14" s="42"/>
      <c r="Z14" s="42">
        <v>2110.2</v>
      </c>
      <c r="AA14" s="42">
        <v>464.4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3"/>
      <c r="AZ14" s="43">
        <f t="shared" si="2"/>
        <v>2784.6</v>
      </c>
      <c r="BA14" s="44">
        <v>516</v>
      </c>
      <c r="BB14" s="45"/>
      <c r="BC14" s="46">
        <f>36880*1.100234</f>
        <v>40576.62992</v>
      </c>
      <c r="BD14" s="47">
        <v>122223.16</v>
      </c>
      <c r="BE14" s="46">
        <v>566</v>
      </c>
      <c r="BF14" s="36">
        <v>966</v>
      </c>
      <c r="BG14" s="46">
        <f>3965*1.035794</f>
        <v>4106.923210000001</v>
      </c>
      <c r="BH14" s="43"/>
      <c r="BI14" s="48"/>
      <c r="BJ14" s="43"/>
      <c r="BK14" s="48"/>
      <c r="BL14" s="39"/>
      <c r="BM14" s="28">
        <f>1567*1.11235</f>
        <v>1743.05245</v>
      </c>
      <c r="BN14" s="44">
        <v>2079</v>
      </c>
      <c r="BO14" s="49"/>
      <c r="BP14" s="44"/>
      <c r="BQ14" s="44"/>
      <c r="BR14" s="23"/>
      <c r="BS14" s="88">
        <f>C14+F14+R14+T14+BA14+BC14+BE14+BG14+BI14+BK14+BM14+BO14+BQ14</f>
        <v>390471.68713</v>
      </c>
      <c r="BT14" s="31">
        <f t="shared" si="3"/>
        <v>381544.63861237</v>
      </c>
    </row>
    <row r="15" spans="1:72" ht="16.5" thickBot="1">
      <c r="A15" s="32">
        <v>10</v>
      </c>
      <c r="B15" s="32" t="s">
        <v>20</v>
      </c>
      <c r="C15" s="33">
        <f>227928+50144</f>
        <v>278072</v>
      </c>
      <c r="D15" s="34">
        <f>(151871.78+32980.33)*1.00693</f>
        <v>186133.1351223</v>
      </c>
      <c r="E15" s="34">
        <f>(33495.4+7987.21)*1.016867</f>
        <v>42182.297182869996</v>
      </c>
      <c r="F15" s="35">
        <v>3594</v>
      </c>
      <c r="G15" s="36"/>
      <c r="H15" s="36"/>
      <c r="I15" s="15"/>
      <c r="J15" s="36">
        <v>1842</v>
      </c>
      <c r="K15" s="36"/>
      <c r="L15" s="36"/>
      <c r="M15" s="36"/>
      <c r="N15" s="36"/>
      <c r="O15" s="36"/>
      <c r="P15" s="36"/>
      <c r="Q15" s="37">
        <f t="shared" si="1"/>
        <v>1842</v>
      </c>
      <c r="R15" s="38">
        <v>40770.9624</v>
      </c>
      <c r="S15" s="90">
        <v>16889.56</v>
      </c>
      <c r="T15" s="40">
        <f>2096*1.53625</f>
        <v>3219.9799999999996</v>
      </c>
      <c r="U15" s="41"/>
      <c r="V15" s="42"/>
      <c r="W15" s="51">
        <v>3120</v>
      </c>
      <c r="X15" s="42"/>
      <c r="Y15" s="42"/>
      <c r="Z15" s="42"/>
      <c r="AA15" s="42">
        <v>774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3"/>
      <c r="AZ15" s="43">
        <f t="shared" si="2"/>
        <v>3894</v>
      </c>
      <c r="BA15" s="44">
        <v>257</v>
      </c>
      <c r="BB15" s="45">
        <v>519</v>
      </c>
      <c r="BC15" s="46">
        <f>23250*1.100234</f>
        <v>25580.440499999997</v>
      </c>
      <c r="BD15" s="47"/>
      <c r="BE15" s="46">
        <v>658</v>
      </c>
      <c r="BF15" s="36">
        <v>174.16</v>
      </c>
      <c r="BG15" s="46">
        <f>1652*1.035794</f>
        <v>1711.1316880000002</v>
      </c>
      <c r="BH15" s="43"/>
      <c r="BI15" s="48"/>
      <c r="BJ15" s="43"/>
      <c r="BK15" s="48"/>
      <c r="BL15" s="39"/>
      <c r="BM15" s="28">
        <f>153*1.11235</f>
        <v>170.18955</v>
      </c>
      <c r="BN15" s="44"/>
      <c r="BO15" s="49"/>
      <c r="BP15" s="44"/>
      <c r="BQ15" s="44"/>
      <c r="BR15" s="23"/>
      <c r="BS15" s="88">
        <f>C15+F15+R15+T15+BA15+BC15+BE15+BG15+BI15+BK15+BM15+BO15+BQ15</f>
        <v>354033.704138</v>
      </c>
      <c r="BT15" s="31">
        <f t="shared" si="3"/>
        <v>251634.15230517</v>
      </c>
    </row>
    <row r="16" spans="1:72" ht="16.5" thickBot="1">
      <c r="A16" s="32">
        <v>11</v>
      </c>
      <c r="B16" s="32" t="s">
        <v>10</v>
      </c>
      <c r="C16" s="33">
        <f>469994+103399</f>
        <v>573393</v>
      </c>
      <c r="D16" s="34">
        <f>(329613.42+71847.75)*1.00693</f>
        <v>404243.29590810003</v>
      </c>
      <c r="E16" s="34">
        <f>(69656.77+15806.51)*1.016867</f>
        <v>86904.78914375999</v>
      </c>
      <c r="F16" s="35">
        <v>7998</v>
      </c>
      <c r="G16" s="36"/>
      <c r="H16" s="36"/>
      <c r="I16" s="15"/>
      <c r="J16" s="36">
        <v>4173</v>
      </c>
      <c r="K16" s="36"/>
      <c r="L16" s="36"/>
      <c r="M16" s="36"/>
      <c r="N16" s="36"/>
      <c r="O16" s="36"/>
      <c r="P16" s="36"/>
      <c r="Q16" s="37">
        <f t="shared" si="1"/>
        <v>4173</v>
      </c>
      <c r="R16" s="38">
        <v>98045.6891</v>
      </c>
      <c r="S16" s="90">
        <v>43780.54</v>
      </c>
      <c r="T16" s="40">
        <f>2132*1.53625</f>
        <v>3275.285</v>
      </c>
      <c r="U16" s="41"/>
      <c r="V16" s="34">
        <v>201.68</v>
      </c>
      <c r="W16" s="42">
        <v>1560</v>
      </c>
      <c r="X16" s="42"/>
      <c r="Y16" s="42"/>
      <c r="Z16" s="42"/>
      <c r="AA16" s="42">
        <v>1238.4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3"/>
      <c r="AZ16" s="43">
        <f t="shared" si="2"/>
        <v>3000.08</v>
      </c>
      <c r="BA16" s="44">
        <v>424</v>
      </c>
      <c r="BB16" s="45"/>
      <c r="BC16" s="46">
        <f>68098*1.100234</f>
        <v>74923.73493199999</v>
      </c>
      <c r="BD16" s="47"/>
      <c r="BE16" s="46">
        <v>688</v>
      </c>
      <c r="BF16" s="36">
        <v>162.97</v>
      </c>
      <c r="BG16" s="46">
        <f>6829*1.035794</f>
        <v>7073.437226000001</v>
      </c>
      <c r="BH16" s="43"/>
      <c r="BI16" s="48"/>
      <c r="BJ16" s="43"/>
      <c r="BK16" s="48"/>
      <c r="BL16" s="39"/>
      <c r="BM16" s="28">
        <f>153*1.11235</f>
        <v>170.18955</v>
      </c>
      <c r="BN16" s="44"/>
      <c r="BO16" s="49">
        <v>300</v>
      </c>
      <c r="BP16" s="44"/>
      <c r="BQ16" s="44"/>
      <c r="BR16" s="23"/>
      <c r="BS16" s="88">
        <f>C16+F16+R16+T16+BA16+BC16+BE16+BG16+BI16+BK16+BM16+BO16+BQ16</f>
        <v>766291.3358080001</v>
      </c>
      <c r="BT16" s="31">
        <f t="shared" si="3"/>
        <v>542264.6750518599</v>
      </c>
    </row>
    <row r="17" spans="1:72" ht="16.5" thickBot="1">
      <c r="A17" s="32">
        <v>12</v>
      </c>
      <c r="B17" s="50" t="s">
        <v>21</v>
      </c>
      <c r="C17" s="33">
        <f>249747+54944</f>
        <v>304691</v>
      </c>
      <c r="D17" s="34">
        <f>(144771.38+68472.46)*1.00693</f>
        <v>214721.61981120004</v>
      </c>
      <c r="E17" s="34">
        <f>(31142.56+14639.23)*1.016867</f>
        <v>46553.99145193</v>
      </c>
      <c r="F17" s="35">
        <v>15254</v>
      </c>
      <c r="G17" s="36"/>
      <c r="H17" s="36"/>
      <c r="I17" s="15"/>
      <c r="J17" s="36">
        <v>3896</v>
      </c>
      <c r="K17" s="36"/>
      <c r="L17" s="36"/>
      <c r="M17" s="36"/>
      <c r="N17" s="36">
        <v>970</v>
      </c>
      <c r="O17" s="36"/>
      <c r="P17" s="36"/>
      <c r="Q17" s="37">
        <f t="shared" si="1"/>
        <v>4866</v>
      </c>
      <c r="R17" s="38">
        <v>32682.307</v>
      </c>
      <c r="S17" s="90">
        <v>21369.51</v>
      </c>
      <c r="T17" s="40">
        <f>2854*1.53625</f>
        <v>4384.4574999999995</v>
      </c>
      <c r="U17" s="41"/>
      <c r="V17" s="42"/>
      <c r="W17" s="42">
        <v>1560</v>
      </c>
      <c r="X17" s="34"/>
      <c r="Y17" s="42"/>
      <c r="Z17" s="42">
        <v>570</v>
      </c>
      <c r="AA17" s="42">
        <v>928.8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43">
        <f t="shared" si="2"/>
        <v>3058.8</v>
      </c>
      <c r="BA17" s="44">
        <v>248</v>
      </c>
      <c r="BB17" s="45"/>
      <c r="BC17" s="46">
        <f>48447*1.100234</f>
        <v>53303.036598</v>
      </c>
      <c r="BD17" s="47">
        <v>176768.51</v>
      </c>
      <c r="BE17" s="46">
        <v>239</v>
      </c>
      <c r="BF17" s="36">
        <v>291.8</v>
      </c>
      <c r="BG17" s="46">
        <f>2842*1.035794</f>
        <v>2943.726548</v>
      </c>
      <c r="BH17" s="43">
        <v>1985.58</v>
      </c>
      <c r="BI17" s="48"/>
      <c r="BJ17" s="43"/>
      <c r="BK17" s="48"/>
      <c r="BL17" s="39"/>
      <c r="BM17" s="28">
        <f>1026*1.11235</f>
        <v>1141.2711</v>
      </c>
      <c r="BN17" s="44">
        <v>1154</v>
      </c>
      <c r="BO17" s="49">
        <v>500</v>
      </c>
      <c r="BP17" s="44"/>
      <c r="BQ17" s="44"/>
      <c r="BR17" s="23"/>
      <c r="BS17" s="88">
        <f>C17+F17+R17+T17+BA17+BC17+BE17+BG17+BI17+BK17+BM17+BO17+BQ17</f>
        <v>415386.79874600004</v>
      </c>
      <c r="BT17" s="31">
        <f t="shared" si="3"/>
        <v>470769.81126313005</v>
      </c>
    </row>
    <row r="18" spans="1:72" ht="16.5" thickBot="1">
      <c r="A18" s="32">
        <v>13</v>
      </c>
      <c r="B18" s="50" t="s">
        <v>22</v>
      </c>
      <c r="C18" s="33">
        <f>287948+63348</f>
        <v>351296</v>
      </c>
      <c r="D18" s="34">
        <f>(176740.12+73150.59)*1.00693</f>
        <v>251622.45262030003</v>
      </c>
      <c r="E18" s="34">
        <f>(38882.83+16044.29)*1.016867</f>
        <v>55853.57573304</v>
      </c>
      <c r="F18" s="35">
        <v>10523</v>
      </c>
      <c r="G18" s="36"/>
      <c r="H18" s="36"/>
      <c r="I18" s="15"/>
      <c r="J18" s="36">
        <v>3896</v>
      </c>
      <c r="K18" s="36"/>
      <c r="L18" s="36"/>
      <c r="M18" s="36"/>
      <c r="N18" s="36"/>
      <c r="O18" s="36"/>
      <c r="P18" s="36"/>
      <c r="Q18" s="37">
        <f t="shared" si="1"/>
        <v>3896</v>
      </c>
      <c r="R18" s="38">
        <v>36201.8453</v>
      </c>
      <c r="S18" s="90">
        <v>27740.47</v>
      </c>
      <c r="T18" s="40">
        <f>2777*1.53625</f>
        <v>4266.166249999999</v>
      </c>
      <c r="U18" s="41"/>
      <c r="V18" s="34"/>
      <c r="W18" s="42"/>
      <c r="X18" s="42"/>
      <c r="Y18" s="42"/>
      <c r="Z18" s="42">
        <v>570</v>
      </c>
      <c r="AA18" s="42">
        <v>1548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3"/>
      <c r="AZ18" s="43">
        <f t="shared" si="2"/>
        <v>2118</v>
      </c>
      <c r="BA18" s="44">
        <v>395</v>
      </c>
      <c r="BB18" s="45"/>
      <c r="BC18" s="46">
        <f>37848*1.100234</f>
        <v>41641.656431999996</v>
      </c>
      <c r="BD18" s="47"/>
      <c r="BE18" s="46"/>
      <c r="BF18" s="36"/>
      <c r="BG18" s="46">
        <f>10574*1.035794</f>
        <v>10952.485756000002</v>
      </c>
      <c r="BH18" s="43">
        <v>3289.12</v>
      </c>
      <c r="BI18" s="48"/>
      <c r="BJ18" s="43"/>
      <c r="BK18" s="48"/>
      <c r="BL18" s="39"/>
      <c r="BM18" s="28">
        <f>1069*1.11235</f>
        <v>1189.10215</v>
      </c>
      <c r="BN18" s="44">
        <v>618</v>
      </c>
      <c r="BO18" s="49"/>
      <c r="BP18" s="44"/>
      <c r="BQ18" s="44"/>
      <c r="BR18" s="23"/>
      <c r="BS18" s="88">
        <f>C18+F18+R18+T18+BA18+BC18+BE18+BG18+BI18+BK18+BM18+BO18+BQ18</f>
        <v>456465.25588799996</v>
      </c>
      <c r="BT18" s="31">
        <f t="shared" si="3"/>
        <v>345137.6183533401</v>
      </c>
    </row>
    <row r="19" spans="1:72" ht="16.5" thickBot="1">
      <c r="A19" s="32">
        <v>14</v>
      </c>
      <c r="B19" s="32" t="s">
        <v>23</v>
      </c>
      <c r="C19" s="33">
        <f>258604+56893</f>
        <v>315497</v>
      </c>
      <c r="D19" s="34">
        <f>(174267.49+46727.13)*1.00693</f>
        <v>222526.1127166</v>
      </c>
      <c r="E19" s="34">
        <f>(37145.65+9922.63)*1.016867</f>
        <v>47862.18067876</v>
      </c>
      <c r="F19" s="35">
        <v>3843</v>
      </c>
      <c r="G19" s="36"/>
      <c r="H19" s="36"/>
      <c r="I19" s="15"/>
      <c r="J19" s="36">
        <v>2585</v>
      </c>
      <c r="K19" s="36"/>
      <c r="L19" s="36"/>
      <c r="M19" s="36"/>
      <c r="N19" s="36"/>
      <c r="O19" s="36"/>
      <c r="P19" s="36"/>
      <c r="Q19" s="37">
        <f t="shared" si="1"/>
        <v>2585</v>
      </c>
      <c r="R19" s="38">
        <v>31765.7734</v>
      </c>
      <c r="S19" s="90">
        <v>13169</v>
      </c>
      <c r="T19" s="40">
        <f>1245*1.53625</f>
        <v>1912.63125</v>
      </c>
      <c r="U19" s="41"/>
      <c r="V19" s="42"/>
      <c r="W19" s="42"/>
      <c r="X19" s="42"/>
      <c r="Y19" s="42"/>
      <c r="Z19" s="42"/>
      <c r="AA19" s="42">
        <v>928.8</v>
      </c>
      <c r="AB19" s="42"/>
      <c r="AC19" s="42"/>
      <c r="AD19" s="42"/>
      <c r="AE19" s="42"/>
      <c r="AF19" s="42">
        <v>1582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3"/>
      <c r="AZ19" s="43">
        <f t="shared" si="2"/>
        <v>2510.8</v>
      </c>
      <c r="BA19" s="44">
        <v>311</v>
      </c>
      <c r="BB19" s="45"/>
      <c r="BC19" s="46">
        <f>32020*1.100234</f>
        <v>35229.492679999996</v>
      </c>
      <c r="BD19" s="47">
        <v>126918.57</v>
      </c>
      <c r="BE19" s="46">
        <v>287</v>
      </c>
      <c r="BF19" s="36">
        <v>1220.1</v>
      </c>
      <c r="BG19" s="46">
        <f>2247*1.035794</f>
        <v>2327.429118</v>
      </c>
      <c r="BH19" s="43"/>
      <c r="BI19" s="48"/>
      <c r="BJ19" s="43"/>
      <c r="BK19" s="48"/>
      <c r="BL19" s="39"/>
      <c r="BM19" s="28">
        <f>868*1.11235</f>
        <v>965.5197999999999</v>
      </c>
      <c r="BN19" s="44">
        <v>1148</v>
      </c>
      <c r="BO19" s="49"/>
      <c r="BP19" s="44"/>
      <c r="BQ19" s="44"/>
      <c r="BR19" s="23"/>
      <c r="BS19" s="88">
        <f>C19+F19+R19+T19+BA19+BC19+BE19+BG19+BI19+BK19+BM19+BO19+BQ19</f>
        <v>392138.8462479999</v>
      </c>
      <c r="BT19" s="31">
        <f t="shared" si="3"/>
        <v>417939.76339536</v>
      </c>
    </row>
    <row r="20" spans="1:72" ht="16.5" thickBot="1">
      <c r="A20" s="32">
        <v>15</v>
      </c>
      <c r="B20" s="50" t="s">
        <v>94</v>
      </c>
      <c r="C20" s="33">
        <f>273494+60169</f>
        <v>333663</v>
      </c>
      <c r="D20" s="34">
        <f>(182019.26+59862.9)*1.00693</f>
        <v>243558.40336880003</v>
      </c>
      <c r="E20" s="34">
        <f>(40438.94+13856.49)*1.016867</f>
        <v>55211.23101781</v>
      </c>
      <c r="F20" s="35">
        <v>13900</v>
      </c>
      <c r="G20" s="36"/>
      <c r="H20" s="36"/>
      <c r="I20" s="15"/>
      <c r="J20" s="36">
        <v>3102</v>
      </c>
      <c r="K20" s="36"/>
      <c r="L20" s="36"/>
      <c r="M20" s="36"/>
      <c r="N20" s="36"/>
      <c r="O20" s="36"/>
      <c r="P20" s="36"/>
      <c r="Q20" s="37">
        <f t="shared" si="1"/>
        <v>3102</v>
      </c>
      <c r="R20" s="38">
        <v>42928.0193</v>
      </c>
      <c r="S20" s="90">
        <v>26802</v>
      </c>
      <c r="T20" s="40">
        <f>2172*1.53625</f>
        <v>3336.7349999999997</v>
      </c>
      <c r="U20" s="41"/>
      <c r="V20" s="42">
        <v>359.91</v>
      </c>
      <c r="W20" s="42"/>
      <c r="X20" s="42"/>
      <c r="Y20" s="34"/>
      <c r="Z20" s="42">
        <v>570</v>
      </c>
      <c r="AA20" s="42">
        <v>1083.6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3"/>
      <c r="AZ20" s="43">
        <f t="shared" si="2"/>
        <v>2013.51</v>
      </c>
      <c r="BA20" s="44">
        <v>347</v>
      </c>
      <c r="BB20" s="45">
        <v>971</v>
      </c>
      <c r="BC20" s="46">
        <f>44780*1.100234</f>
        <v>49268.47852</v>
      </c>
      <c r="BD20" s="47">
        <v>182689.3</v>
      </c>
      <c r="BE20" s="46">
        <v>1145</v>
      </c>
      <c r="BF20" s="36">
        <v>953.97</v>
      </c>
      <c r="BG20" s="46">
        <f>4053*1.035794</f>
        <v>4198.073082000001</v>
      </c>
      <c r="BH20" s="43">
        <v>2671.82</v>
      </c>
      <c r="BI20" s="48"/>
      <c r="BJ20" s="43"/>
      <c r="BK20" s="48"/>
      <c r="BL20" s="39"/>
      <c r="BM20" s="28">
        <f>729*1.11235</f>
        <v>810.90315</v>
      </c>
      <c r="BN20" s="44">
        <v>482</v>
      </c>
      <c r="BO20" s="49"/>
      <c r="BP20" s="44"/>
      <c r="BQ20" s="44"/>
      <c r="BR20" s="23"/>
      <c r="BS20" s="88">
        <f>C20+F20+R20+T20+BA20+BC20+BE20+BG20+BI20+BK20+BM20+BO20+BQ20</f>
        <v>449597.209052</v>
      </c>
      <c r="BT20" s="31">
        <f t="shared" si="3"/>
        <v>518455.23438661</v>
      </c>
    </row>
    <row r="21" spans="1:72" ht="16.5" thickBot="1">
      <c r="A21" s="32">
        <v>16</v>
      </c>
      <c r="B21" s="32" t="s">
        <v>24</v>
      </c>
      <c r="C21" s="33">
        <f>303571+66786</f>
        <v>370357</v>
      </c>
      <c r="D21" s="34">
        <f>(203107.97+57368.24)*1.00693</f>
        <v>262281.31013530004</v>
      </c>
      <c r="E21" s="34">
        <f>(43302.24+12373.61)*1.016867</f>
        <v>56614.934561949995</v>
      </c>
      <c r="F21" s="35">
        <v>4531</v>
      </c>
      <c r="G21" s="36"/>
      <c r="H21" s="36"/>
      <c r="I21" s="15"/>
      <c r="J21" s="36">
        <v>2632</v>
      </c>
      <c r="K21" s="36"/>
      <c r="L21" s="36"/>
      <c r="M21" s="36"/>
      <c r="N21" s="36"/>
      <c r="O21" s="36"/>
      <c r="P21" s="36"/>
      <c r="Q21" s="37">
        <f t="shared" si="1"/>
        <v>2632</v>
      </c>
      <c r="R21" s="38">
        <v>49330.2036</v>
      </c>
      <c r="S21" s="90">
        <v>21197.59</v>
      </c>
      <c r="T21" s="40">
        <f>1918*1.53625</f>
        <v>2946.5274999999997</v>
      </c>
      <c r="U21" s="41"/>
      <c r="V21" s="42"/>
      <c r="W21" s="42"/>
      <c r="X21" s="42"/>
      <c r="Y21" s="42"/>
      <c r="Z21" s="42"/>
      <c r="AA21" s="42">
        <v>1083.6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3"/>
      <c r="AZ21" s="43">
        <f t="shared" si="2"/>
        <v>1083.6</v>
      </c>
      <c r="BA21" s="44">
        <v>612</v>
      </c>
      <c r="BB21" s="45">
        <v>685.3</v>
      </c>
      <c r="BC21" s="46">
        <f>21824*1.100234</f>
        <v>24011.506815999997</v>
      </c>
      <c r="BD21" s="47"/>
      <c r="BE21" s="46">
        <v>314</v>
      </c>
      <c r="BF21" s="36">
        <v>231.37</v>
      </c>
      <c r="BG21" s="46">
        <f>1608*1.035794</f>
        <v>1665.5567520000002</v>
      </c>
      <c r="BH21" s="43"/>
      <c r="BI21" s="48"/>
      <c r="BJ21" s="43"/>
      <c r="BK21" s="48"/>
      <c r="BL21" s="39"/>
      <c r="BM21" s="28">
        <f>154*1.11235</f>
        <v>171.3019</v>
      </c>
      <c r="BN21" s="44"/>
      <c r="BO21" s="49"/>
      <c r="BP21" s="44"/>
      <c r="BQ21" s="44"/>
      <c r="BR21" s="23"/>
      <c r="BS21" s="88">
        <f>C21+F21+R21+T21+BA21+BC21+BE21+BG21+BI21+BK21+BM21+BO21+BQ21</f>
        <v>453939.09656800004</v>
      </c>
      <c r="BT21" s="31">
        <f t="shared" si="3"/>
        <v>344726.10469725</v>
      </c>
    </row>
    <row r="22" spans="1:72" ht="16.5" thickBot="1">
      <c r="A22" s="32">
        <v>17</v>
      </c>
      <c r="B22" s="50" t="s">
        <v>5</v>
      </c>
      <c r="C22" s="33">
        <f>508749+111925</f>
        <v>620674</v>
      </c>
      <c r="D22" s="34">
        <f>(355681.92+87453.01)*1.00693</f>
        <v>446205.8550649</v>
      </c>
      <c r="E22" s="34">
        <f>(74084.35+19829.06)*1.016867</f>
        <v>95497.44748647</v>
      </c>
      <c r="F22" s="35">
        <v>18407</v>
      </c>
      <c r="G22" s="36"/>
      <c r="H22" s="36"/>
      <c r="I22" s="15"/>
      <c r="J22" s="36">
        <v>5484</v>
      </c>
      <c r="K22" s="36"/>
      <c r="L22" s="36"/>
      <c r="M22" s="36"/>
      <c r="N22" s="36"/>
      <c r="O22" s="36"/>
      <c r="P22" s="36"/>
      <c r="Q22" s="37">
        <f t="shared" si="1"/>
        <v>5484</v>
      </c>
      <c r="R22" s="38">
        <v>113498.6427</v>
      </c>
      <c r="S22" s="90">
        <v>37909.62</v>
      </c>
      <c r="T22" s="40">
        <f>3665*1.53625</f>
        <v>5630.35625</v>
      </c>
      <c r="U22" s="41"/>
      <c r="V22" s="42">
        <v>220.5</v>
      </c>
      <c r="W22" s="34">
        <v>4680</v>
      </c>
      <c r="X22" s="42"/>
      <c r="Y22" s="42"/>
      <c r="Z22" s="42">
        <v>570</v>
      </c>
      <c r="AA22" s="42">
        <v>1548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3"/>
      <c r="AZ22" s="43">
        <f t="shared" si="2"/>
        <v>7018.5</v>
      </c>
      <c r="BA22" s="44">
        <v>365</v>
      </c>
      <c r="BB22" s="45"/>
      <c r="BC22" s="46">
        <f>55496*1.100234</f>
        <v>61058.586063999996</v>
      </c>
      <c r="BD22" s="47"/>
      <c r="BE22" s="46">
        <v>1018</v>
      </c>
      <c r="BF22" s="36">
        <v>2931.3</v>
      </c>
      <c r="BG22" s="46">
        <f>7137*1.035794</f>
        <v>7392.461778000001</v>
      </c>
      <c r="BH22" s="43"/>
      <c r="BI22" s="48"/>
      <c r="BJ22" s="43"/>
      <c r="BK22" s="48"/>
      <c r="BL22" s="39"/>
      <c r="BM22" s="28">
        <f>154*1.11235</f>
        <v>171.3019</v>
      </c>
      <c r="BN22" s="44"/>
      <c r="BO22" s="49">
        <v>300</v>
      </c>
      <c r="BP22" s="44"/>
      <c r="BQ22" s="44"/>
      <c r="BR22" s="23"/>
      <c r="BS22" s="88">
        <f>C22+F22+R22+T22+BA22+BC22+BE22+BG22+BI22+BK22+BM22+BO22+BQ22</f>
        <v>828515.3486919999</v>
      </c>
      <c r="BT22" s="31">
        <f t="shared" si="3"/>
        <v>595046.72255137</v>
      </c>
    </row>
    <row r="23" spans="1:72" ht="16.5" thickBot="1">
      <c r="A23" s="32">
        <v>18</v>
      </c>
      <c r="B23" s="32" t="s">
        <v>25</v>
      </c>
      <c r="C23" s="33">
        <f>211119+46447</f>
        <v>257566</v>
      </c>
      <c r="D23" s="34">
        <f>(139122.5+45081.01)*1.00693</f>
        <v>185480.04032430003</v>
      </c>
      <c r="E23" s="34">
        <f>(30606.95+8759.25)*1.016867</f>
        <v>40030.1896954</v>
      </c>
      <c r="F23" s="35">
        <v>4583</v>
      </c>
      <c r="G23" s="36"/>
      <c r="H23" s="36"/>
      <c r="I23" s="15"/>
      <c r="J23" s="36">
        <v>3776</v>
      </c>
      <c r="K23" s="36"/>
      <c r="L23" s="36"/>
      <c r="M23" s="36"/>
      <c r="N23" s="36"/>
      <c r="O23" s="36"/>
      <c r="P23" s="37"/>
      <c r="Q23" s="37">
        <f t="shared" si="1"/>
        <v>3776</v>
      </c>
      <c r="R23" s="38">
        <v>23519.4348</v>
      </c>
      <c r="S23" s="90">
        <v>20021.5</v>
      </c>
      <c r="T23" s="40">
        <f>1230*1.53625</f>
        <v>1889.5874999999999</v>
      </c>
      <c r="U23" s="41"/>
      <c r="V23" s="42"/>
      <c r="W23" s="42"/>
      <c r="X23" s="42"/>
      <c r="Y23" s="42"/>
      <c r="Z23" s="42"/>
      <c r="AA23" s="42">
        <v>928.8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3"/>
      <c r="AZ23" s="43">
        <f t="shared" si="2"/>
        <v>928.8</v>
      </c>
      <c r="BA23" s="44">
        <v>500</v>
      </c>
      <c r="BB23" s="45"/>
      <c r="BC23" s="46">
        <f>37351*1.100234</f>
        <v>41094.840134</v>
      </c>
      <c r="BD23" s="47"/>
      <c r="BE23" s="46">
        <v>387</v>
      </c>
      <c r="BF23" s="36">
        <v>660.92</v>
      </c>
      <c r="BG23" s="46">
        <f>7424*1.035794</f>
        <v>7689.7346560000005</v>
      </c>
      <c r="BH23" s="43">
        <v>5957.26</v>
      </c>
      <c r="BI23" s="48"/>
      <c r="BJ23" s="43"/>
      <c r="BK23" s="48"/>
      <c r="BL23" s="39"/>
      <c r="BM23" s="28">
        <f>1032*1.11235</f>
        <v>1147.9451999999999</v>
      </c>
      <c r="BN23" s="44">
        <v>1160</v>
      </c>
      <c r="BO23" s="49"/>
      <c r="BP23" s="44"/>
      <c r="BQ23" s="44"/>
      <c r="BR23" s="23"/>
      <c r="BS23" s="88">
        <f>C23+F23+R23+T23+BA23+BC23+BE23+BG23+BI23+BK23+BM23+BO23+BQ23</f>
        <v>338377.54229</v>
      </c>
      <c r="BT23" s="31">
        <f t="shared" si="3"/>
        <v>258014.71001970003</v>
      </c>
    </row>
    <row r="24" spans="1:72" ht="16.5" thickBot="1">
      <c r="A24" s="32">
        <v>19</v>
      </c>
      <c r="B24" s="32" t="s">
        <v>26</v>
      </c>
      <c r="C24" s="33">
        <f>219352+48257</f>
        <v>267609</v>
      </c>
      <c r="D24" s="34">
        <f>(153477.8+45624.46)*1.00693</f>
        <v>200482.0386618</v>
      </c>
      <c r="E24" s="34">
        <f>(34079.71+10347.8)*1.016867</f>
        <v>45176.868811169996</v>
      </c>
      <c r="F24" s="35">
        <v>3293</v>
      </c>
      <c r="G24" s="36"/>
      <c r="H24" s="36"/>
      <c r="I24" s="15"/>
      <c r="J24" s="36">
        <v>2235</v>
      </c>
      <c r="K24" s="36"/>
      <c r="L24" s="36"/>
      <c r="M24" s="36"/>
      <c r="N24" s="36"/>
      <c r="O24" s="36"/>
      <c r="P24" s="37"/>
      <c r="Q24" s="37">
        <f t="shared" si="1"/>
        <v>2235</v>
      </c>
      <c r="R24" s="38">
        <v>23900.0919</v>
      </c>
      <c r="S24" s="90">
        <v>18166.62</v>
      </c>
      <c r="T24" s="40">
        <f>1767*1.53625</f>
        <v>2714.55375</v>
      </c>
      <c r="U24" s="41"/>
      <c r="V24" s="42"/>
      <c r="W24" s="42"/>
      <c r="X24" s="42"/>
      <c r="Y24" s="42"/>
      <c r="Z24" s="42"/>
      <c r="AA24" s="42">
        <v>464.4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3"/>
      <c r="AZ24" s="43">
        <f t="shared" si="2"/>
        <v>464.4</v>
      </c>
      <c r="BA24" s="44">
        <v>400</v>
      </c>
      <c r="BB24" s="45"/>
      <c r="BC24" s="46">
        <f>18349*1.100234</f>
        <v>20188.193666</v>
      </c>
      <c r="BD24" s="47">
        <v>54365.45</v>
      </c>
      <c r="BE24" s="46"/>
      <c r="BF24" s="36"/>
      <c r="BG24" s="46">
        <f>4053*1.035794</f>
        <v>4198.073082000001</v>
      </c>
      <c r="BH24" s="43">
        <v>1054.8</v>
      </c>
      <c r="BI24" s="48"/>
      <c r="BJ24" s="43"/>
      <c r="BK24" s="48"/>
      <c r="BL24" s="39"/>
      <c r="BM24" s="28">
        <f>1223*1.11235</f>
        <v>1360.4040499999999</v>
      </c>
      <c r="BN24" s="44">
        <v>4017</v>
      </c>
      <c r="BO24" s="49"/>
      <c r="BP24" s="44"/>
      <c r="BQ24" s="44"/>
      <c r="BR24" s="23"/>
      <c r="BS24" s="88">
        <f>C24+F24+R24+T24+BA24+BC24+BE24+BG24+BI24+BK24+BM24+BO24+BQ24</f>
        <v>323663.316448</v>
      </c>
      <c r="BT24" s="31">
        <f t="shared" si="3"/>
        <v>325962.17747297004</v>
      </c>
    </row>
    <row r="25" spans="1:72" ht="36" customHeight="1" thickBot="1">
      <c r="A25" s="32">
        <v>20</v>
      </c>
      <c r="B25" s="32" t="s">
        <v>27</v>
      </c>
      <c r="C25" s="33">
        <f>271659+59764</f>
        <v>331423</v>
      </c>
      <c r="D25" s="34">
        <f>(171058.49+56482.72)*1.00693</f>
        <v>229118.0705853</v>
      </c>
      <c r="E25" s="34">
        <f>(36210.68+12542.33)*1.016867</f>
        <v>49575.32701967</v>
      </c>
      <c r="F25" s="35">
        <v>4879</v>
      </c>
      <c r="G25" s="36"/>
      <c r="H25" s="36"/>
      <c r="I25" s="15"/>
      <c r="J25" s="36">
        <v>3379</v>
      </c>
      <c r="K25" s="36"/>
      <c r="L25" s="36"/>
      <c r="M25" s="36"/>
      <c r="N25" s="36"/>
      <c r="O25" s="36"/>
      <c r="P25" s="37"/>
      <c r="Q25" s="37">
        <f t="shared" si="1"/>
        <v>3379</v>
      </c>
      <c r="R25" s="38">
        <v>33832.9016</v>
      </c>
      <c r="S25" s="90">
        <v>31495.1</v>
      </c>
      <c r="T25" s="40">
        <f>1971*1.53625</f>
        <v>3027.9487499999996</v>
      </c>
      <c r="U25" s="41"/>
      <c r="V25" s="42">
        <v>119.97</v>
      </c>
      <c r="W25" s="42"/>
      <c r="X25" s="42"/>
      <c r="Y25" s="42"/>
      <c r="Z25" s="42"/>
      <c r="AA25" s="42">
        <v>928.8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3"/>
      <c r="AZ25" s="43">
        <f t="shared" si="2"/>
        <v>1048.77</v>
      </c>
      <c r="BA25" s="44">
        <v>418</v>
      </c>
      <c r="BB25" s="45">
        <v>704</v>
      </c>
      <c r="BC25" s="46">
        <f>50846*1.100234</f>
        <v>55942.497963999995</v>
      </c>
      <c r="BD25" s="47"/>
      <c r="BE25" s="46">
        <v>599</v>
      </c>
      <c r="BF25" s="36">
        <v>443.32</v>
      </c>
      <c r="BG25" s="46">
        <f>5529*1.035794</f>
        <v>5726.905026</v>
      </c>
      <c r="BH25" s="43">
        <v>653.32</v>
      </c>
      <c r="BI25" s="48"/>
      <c r="BJ25" s="43"/>
      <c r="BK25" s="48"/>
      <c r="BL25" s="39"/>
      <c r="BM25" s="28">
        <f>257*1.11235</f>
        <v>285.87395</v>
      </c>
      <c r="BN25" s="44">
        <v>196</v>
      </c>
      <c r="BO25" s="49"/>
      <c r="BP25" s="44"/>
      <c r="BQ25" s="44"/>
      <c r="BR25" s="23"/>
      <c r="BS25" s="88">
        <f>C25+F25+R25+T25+BA25+BC25+BE25+BG25+BI25+BK25+BM25+BO25+BQ25</f>
        <v>436135.1272899999</v>
      </c>
      <c r="BT25" s="31">
        <f t="shared" si="3"/>
        <v>316612.90760497004</v>
      </c>
    </row>
    <row r="26" spans="1:72" ht="16.5" thickBot="1">
      <c r="A26" s="32">
        <v>21</v>
      </c>
      <c r="B26" s="32" t="s">
        <v>12</v>
      </c>
      <c r="C26" s="33">
        <f>264360+58159</f>
        <v>322519</v>
      </c>
      <c r="D26" s="34">
        <f>(165491.79+62346.26)*1.00693</f>
        <v>229416.96768650005</v>
      </c>
      <c r="E26" s="34">
        <f>(35301.58+15183.6)*1.016867</f>
        <v>51336.71353106</v>
      </c>
      <c r="F26" s="35">
        <v>5491</v>
      </c>
      <c r="G26" s="36"/>
      <c r="H26" s="36"/>
      <c r="I26" s="15"/>
      <c r="J26" s="36">
        <v>4173</v>
      </c>
      <c r="K26" s="36"/>
      <c r="L26" s="36"/>
      <c r="M26" s="36"/>
      <c r="N26" s="36"/>
      <c r="O26" s="36"/>
      <c r="P26" s="37"/>
      <c r="Q26" s="37">
        <f t="shared" si="1"/>
        <v>4173</v>
      </c>
      <c r="R26" s="38">
        <v>35285.3117</v>
      </c>
      <c r="S26" s="90">
        <v>21802.34</v>
      </c>
      <c r="T26" s="40">
        <f>1957*1.53625</f>
        <v>3006.44125</v>
      </c>
      <c r="U26" s="41"/>
      <c r="V26" s="42">
        <v>359.91</v>
      </c>
      <c r="W26" s="42"/>
      <c r="X26" s="42"/>
      <c r="Y26" s="42"/>
      <c r="Z26" s="42"/>
      <c r="AA26" s="42">
        <v>619.2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3"/>
      <c r="AZ26" s="43">
        <f t="shared" si="2"/>
        <v>979.1100000000001</v>
      </c>
      <c r="BA26" s="44">
        <v>639</v>
      </c>
      <c r="BB26" s="45">
        <v>1368</v>
      </c>
      <c r="BC26" s="46">
        <f>25021*1.100234</f>
        <v>27528.954913999998</v>
      </c>
      <c r="BD26" s="47"/>
      <c r="BE26" s="46"/>
      <c r="BF26" s="36"/>
      <c r="BG26" s="46">
        <f>8393*1.035794</f>
        <v>8693.419042000001</v>
      </c>
      <c r="BH26" s="43"/>
      <c r="BI26" s="48"/>
      <c r="BJ26" s="43"/>
      <c r="BK26" s="48"/>
      <c r="BL26" s="39"/>
      <c r="BM26" s="28">
        <f>707*1.11235</f>
        <v>786.4314499999999</v>
      </c>
      <c r="BN26" s="44"/>
      <c r="BO26" s="49"/>
      <c r="BP26" s="44"/>
      <c r="BQ26" s="44"/>
      <c r="BR26" s="23"/>
      <c r="BS26" s="88">
        <f>C26+F26+R26+T26+BA26+BC26+BE26+BG26+BI26+BK26+BM26+BO26+BQ26</f>
        <v>403949.558356</v>
      </c>
      <c r="BT26" s="31">
        <f t="shared" si="3"/>
        <v>309076.1312175601</v>
      </c>
    </row>
    <row r="27" spans="1:72" ht="16.5" thickBot="1">
      <c r="A27" s="32">
        <v>22</v>
      </c>
      <c r="B27" s="32" t="s">
        <v>28</v>
      </c>
      <c r="C27" s="33">
        <f>229630+50519</f>
        <v>280149</v>
      </c>
      <c r="D27" s="34">
        <f>(145896.71+54874.19)*1.00693</f>
        <v>202162.242337</v>
      </c>
      <c r="E27" s="34">
        <f>(32565.11+11347.24)*1.016867</f>
        <v>44653.01960745</v>
      </c>
      <c r="F27" s="35">
        <v>4790</v>
      </c>
      <c r="G27" s="36"/>
      <c r="H27" s="36"/>
      <c r="I27" s="15"/>
      <c r="J27" s="36">
        <v>3776</v>
      </c>
      <c r="K27" s="36"/>
      <c r="L27" s="36"/>
      <c r="M27" s="36"/>
      <c r="N27" s="36"/>
      <c r="O27" s="36"/>
      <c r="P27" s="37"/>
      <c r="Q27" s="37">
        <f t="shared" si="1"/>
        <v>3776</v>
      </c>
      <c r="R27" s="38">
        <v>21072.8814</v>
      </c>
      <c r="S27" s="90">
        <v>14702.77</v>
      </c>
      <c r="T27" s="40">
        <f>1864*1.53625</f>
        <v>2863.5699999999997</v>
      </c>
      <c r="U27" s="41"/>
      <c r="V27" s="42"/>
      <c r="W27" s="42"/>
      <c r="X27" s="42"/>
      <c r="Y27" s="42"/>
      <c r="Z27" s="42"/>
      <c r="AA27" s="42">
        <v>774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3"/>
      <c r="AZ27" s="43">
        <f t="shared" si="2"/>
        <v>774</v>
      </c>
      <c r="BA27" s="44">
        <v>843</v>
      </c>
      <c r="BB27" s="45">
        <v>1050</v>
      </c>
      <c r="BC27" s="46">
        <f>56991*1.100234</f>
        <v>62703.435893999995</v>
      </c>
      <c r="BD27" s="47"/>
      <c r="BE27" s="46">
        <v>419</v>
      </c>
      <c r="BF27" s="36"/>
      <c r="BG27" s="46">
        <f>2643*1.035794</f>
        <v>2737.6035420000003</v>
      </c>
      <c r="BH27" s="43"/>
      <c r="BI27" s="48"/>
      <c r="BJ27" s="43"/>
      <c r="BK27" s="48"/>
      <c r="BL27" s="39"/>
      <c r="BM27" s="28">
        <f>153*1.11235</f>
        <v>170.18955</v>
      </c>
      <c r="BN27" s="44">
        <v>288</v>
      </c>
      <c r="BO27" s="49"/>
      <c r="BP27" s="44"/>
      <c r="BQ27" s="44"/>
      <c r="BR27" s="23"/>
      <c r="BS27" s="88">
        <f>C27+F27+R27+T27+BA27+BC27+BE27+BG27+BI27+BK27+BM27+BO27+BQ27</f>
        <v>375748.680386</v>
      </c>
      <c r="BT27" s="31">
        <f t="shared" si="3"/>
        <v>267406.03194445</v>
      </c>
    </row>
    <row r="28" spans="1:72" ht="16.5" thickBot="1">
      <c r="A28" s="32">
        <v>23</v>
      </c>
      <c r="B28" s="32" t="s">
        <v>29</v>
      </c>
      <c r="C28" s="33">
        <f>297715+65497</f>
        <v>363212</v>
      </c>
      <c r="D28" s="34">
        <f>(155600.88+47653.93)*1.00693</f>
        <v>204663.36583330002</v>
      </c>
      <c r="E28" s="34">
        <f>(34232.2+9958.76)*1.016867</f>
        <v>44936.32892232</v>
      </c>
      <c r="F28" s="35">
        <v>3601</v>
      </c>
      <c r="G28" s="36"/>
      <c r="H28" s="36"/>
      <c r="I28" s="15"/>
      <c r="J28" s="36">
        <v>2188</v>
      </c>
      <c r="K28" s="36"/>
      <c r="L28" s="36"/>
      <c r="M28" s="36"/>
      <c r="N28" s="36"/>
      <c r="O28" s="36"/>
      <c r="P28" s="37"/>
      <c r="Q28" s="37">
        <f t="shared" si="1"/>
        <v>2188</v>
      </c>
      <c r="R28" s="38">
        <v>43675.7826</v>
      </c>
      <c r="S28" s="90">
        <v>22573.44</v>
      </c>
      <c r="T28" s="40">
        <f>1267*1.53625</f>
        <v>1946.4287499999998</v>
      </c>
      <c r="U28" s="41"/>
      <c r="V28" s="42">
        <v>91.48</v>
      </c>
      <c r="W28" s="42"/>
      <c r="X28" s="42"/>
      <c r="Y28" s="42"/>
      <c r="Z28" s="42"/>
      <c r="AA28" s="42">
        <v>1083.6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3"/>
      <c r="AZ28" s="43">
        <f t="shared" si="2"/>
        <v>1175.08</v>
      </c>
      <c r="BA28" s="44">
        <v>423</v>
      </c>
      <c r="BB28" s="45"/>
      <c r="BC28" s="46">
        <f>26059*1.100234</f>
        <v>28670.997806</v>
      </c>
      <c r="BD28" s="47">
        <v>103636.94</v>
      </c>
      <c r="BE28" s="46">
        <v>293</v>
      </c>
      <c r="BF28" s="36">
        <v>663.86</v>
      </c>
      <c r="BG28" s="46">
        <f>4053*1.035794</f>
        <v>4198.073082000001</v>
      </c>
      <c r="BH28" s="43">
        <v>2842.93</v>
      </c>
      <c r="BI28" s="48"/>
      <c r="BJ28" s="43"/>
      <c r="BK28" s="48"/>
      <c r="BL28" s="39"/>
      <c r="BM28" s="28">
        <f>153*1.11235</f>
        <v>170.18955</v>
      </c>
      <c r="BN28" s="44"/>
      <c r="BO28" s="49"/>
      <c r="BP28" s="44"/>
      <c r="BQ28" s="44"/>
      <c r="BR28" s="23"/>
      <c r="BS28" s="88">
        <f>C28+F28+R28+T28+BA28+BC28+BE28+BG28+BI28+BK28+BM28+BO28+BQ28</f>
        <v>446190.471788</v>
      </c>
      <c r="BT28" s="31">
        <f t="shared" si="3"/>
        <v>382679.94475562003</v>
      </c>
    </row>
    <row r="29" spans="1:72" ht="16.5" thickBot="1">
      <c r="A29" s="32">
        <v>24</v>
      </c>
      <c r="B29" s="50" t="s">
        <v>30</v>
      </c>
      <c r="C29" s="33">
        <f>372263+81898</f>
        <v>454161</v>
      </c>
      <c r="D29" s="34">
        <f>(248727+78502.27)*1.00693</f>
        <v>329496.96884110005</v>
      </c>
      <c r="E29" s="34">
        <f>(52439.01+17668.22)*1.016867</f>
        <v>71289.72864841</v>
      </c>
      <c r="F29" s="35">
        <v>70137</v>
      </c>
      <c r="G29" s="36"/>
      <c r="H29" s="36"/>
      <c r="I29" s="15"/>
      <c r="J29" s="36">
        <v>4136</v>
      </c>
      <c r="K29" s="36"/>
      <c r="L29" s="36"/>
      <c r="M29" s="36"/>
      <c r="N29" s="36"/>
      <c r="O29" s="36"/>
      <c r="P29" s="36"/>
      <c r="Q29" s="37">
        <f t="shared" si="1"/>
        <v>4136</v>
      </c>
      <c r="R29" s="38">
        <v>59329.5359</v>
      </c>
      <c r="S29" s="90">
        <v>37045.52</v>
      </c>
      <c r="T29" s="40">
        <f>4581*1.53625</f>
        <v>7037.56125</v>
      </c>
      <c r="U29" s="41"/>
      <c r="V29" s="42"/>
      <c r="W29" s="34">
        <v>4680</v>
      </c>
      <c r="X29" s="42"/>
      <c r="Y29" s="34"/>
      <c r="Z29" s="42">
        <v>1710</v>
      </c>
      <c r="AA29" s="42">
        <v>1083.6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3"/>
      <c r="AZ29" s="43">
        <f t="shared" si="2"/>
        <v>7473.6</v>
      </c>
      <c r="BA29" s="44">
        <v>564</v>
      </c>
      <c r="BB29" s="45"/>
      <c r="BC29" s="46">
        <f>57540*1.100234</f>
        <v>63307.46436</v>
      </c>
      <c r="BD29" s="47">
        <v>151035.77</v>
      </c>
      <c r="BE29" s="46">
        <v>778</v>
      </c>
      <c r="BF29" s="36"/>
      <c r="BG29" s="46">
        <f>6410*1.035794</f>
        <v>6639.43954</v>
      </c>
      <c r="BH29" s="43"/>
      <c r="BI29" s="48"/>
      <c r="BJ29" s="43"/>
      <c r="BK29" s="48"/>
      <c r="BL29" s="39"/>
      <c r="BM29" s="28">
        <f>154*1.11235</f>
        <v>171.3019</v>
      </c>
      <c r="BN29" s="44"/>
      <c r="BO29" s="49">
        <v>400</v>
      </c>
      <c r="BP29" s="44"/>
      <c r="BQ29" s="44"/>
      <c r="BR29" s="23"/>
      <c r="BS29" s="88">
        <f>C29+F29+R29+T29+BA29+BC29+BE29+BG29+BI29+BK29+BM29+BO29+BQ29</f>
        <v>662525.30295</v>
      </c>
      <c r="BT29" s="31">
        <f t="shared" si="3"/>
        <v>600477.5874895101</v>
      </c>
    </row>
    <row r="30" spans="1:72" ht="16.5" thickBot="1">
      <c r="A30" s="32">
        <v>25</v>
      </c>
      <c r="B30" s="52" t="s">
        <v>62</v>
      </c>
      <c r="C30" s="53">
        <f>558254+122816</f>
        <v>681070</v>
      </c>
      <c r="D30" s="34">
        <f>(382410.26+97065.19)*1.00693</f>
        <v>482798.2148685001</v>
      </c>
      <c r="E30" s="34">
        <f>(82338.74+20046.88)*1.016867</f>
        <v>104112.55825254001</v>
      </c>
      <c r="F30" s="35">
        <v>11636</v>
      </c>
      <c r="G30" s="36"/>
      <c r="H30" s="36"/>
      <c r="I30" s="15"/>
      <c r="J30" s="36">
        <v>5557</v>
      </c>
      <c r="K30" s="36"/>
      <c r="L30" s="36"/>
      <c r="M30" s="36"/>
      <c r="N30" s="36"/>
      <c r="O30" s="36"/>
      <c r="P30" s="36"/>
      <c r="Q30" s="37">
        <f t="shared" si="1"/>
        <v>5557</v>
      </c>
      <c r="R30" s="38">
        <v>187932.6864</v>
      </c>
      <c r="S30" s="90">
        <v>30238.81</v>
      </c>
      <c r="T30" s="40">
        <f>1707*1.53625</f>
        <v>2622.37875</v>
      </c>
      <c r="U30" s="41"/>
      <c r="V30" s="42"/>
      <c r="W30" s="42"/>
      <c r="X30" s="42"/>
      <c r="Y30" s="42"/>
      <c r="Z30" s="42"/>
      <c r="AA30" s="42">
        <v>2012.4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/>
      <c r="AZ30" s="43">
        <f t="shared" si="2"/>
        <v>2012.4</v>
      </c>
      <c r="BA30" s="44">
        <v>48</v>
      </c>
      <c r="BB30" s="45"/>
      <c r="BC30" s="46">
        <f>201856*1.100234</f>
        <v>222088.834304</v>
      </c>
      <c r="BD30" s="47"/>
      <c r="BE30" s="46">
        <f>11628+908</f>
        <v>12536</v>
      </c>
      <c r="BF30" s="36"/>
      <c r="BG30" s="46">
        <f>59989*1.035794+0.19</f>
        <v>62136.43626600001</v>
      </c>
      <c r="BH30" s="43">
        <v>14310.06</v>
      </c>
      <c r="BI30" s="48"/>
      <c r="BJ30" s="43"/>
      <c r="BK30" s="48"/>
      <c r="BL30" s="39"/>
      <c r="BM30" s="28">
        <f>154*1.11235</f>
        <v>171.3019</v>
      </c>
      <c r="BN30" s="44"/>
      <c r="BO30" s="49"/>
      <c r="BP30" s="44"/>
      <c r="BQ30" s="44"/>
      <c r="BR30" s="23"/>
      <c r="BS30" s="88">
        <f>C30+F30+R30+T30+BA30+BC30+BE30+BG30+BI30+BK30+BM30+BO30+BQ30</f>
        <v>1180241.63762</v>
      </c>
      <c r="BT30" s="31">
        <f t="shared" si="3"/>
        <v>639029.0431210402</v>
      </c>
    </row>
    <row r="31" spans="1:72" ht="16.5" hidden="1" thickBot="1">
      <c r="A31" s="32">
        <v>27</v>
      </c>
      <c r="B31" s="32"/>
      <c r="C31" s="33"/>
      <c r="D31" s="34"/>
      <c r="E31" s="34"/>
      <c r="F31" s="35"/>
      <c r="G31" s="36"/>
      <c r="H31" s="36"/>
      <c r="I31" s="15"/>
      <c r="J31" s="36"/>
      <c r="K31" s="36"/>
      <c r="L31" s="36"/>
      <c r="M31" s="36"/>
      <c r="N31" s="36"/>
      <c r="O31" s="36"/>
      <c r="P31" s="36"/>
      <c r="Q31" s="37">
        <f t="shared" si="1"/>
        <v>0</v>
      </c>
      <c r="R31" s="38"/>
      <c r="S31" s="90"/>
      <c r="T31" s="40"/>
      <c r="U31" s="41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/>
      <c r="AZ31" s="43">
        <f t="shared" si="2"/>
        <v>0</v>
      </c>
      <c r="BA31" s="44"/>
      <c r="BB31" s="45"/>
      <c r="BC31" s="46"/>
      <c r="BD31" s="47"/>
      <c r="BE31" s="46"/>
      <c r="BF31" s="36"/>
      <c r="BG31" s="46"/>
      <c r="BH31" s="43"/>
      <c r="BI31" s="48"/>
      <c r="BJ31" s="43"/>
      <c r="BK31" s="48"/>
      <c r="BL31" s="39"/>
      <c r="BM31" s="28"/>
      <c r="BN31" s="44"/>
      <c r="BO31" s="49"/>
      <c r="BP31" s="44"/>
      <c r="BQ31" s="44"/>
      <c r="BR31" s="23"/>
      <c r="BS31" s="88">
        <f>C31+F31+R31+T31+BA31+BC31+BE31+BG31+BI31+BK31+BM31+BO31+BQ31</f>
        <v>0</v>
      </c>
      <c r="BT31" s="31">
        <f t="shared" si="3"/>
        <v>0</v>
      </c>
    </row>
    <row r="32" spans="1:72" ht="16.5" hidden="1" thickBot="1">
      <c r="A32" s="32">
        <v>28</v>
      </c>
      <c r="B32" s="32"/>
      <c r="C32" s="33"/>
      <c r="D32" s="34"/>
      <c r="E32" s="34"/>
      <c r="F32" s="35"/>
      <c r="G32" s="36"/>
      <c r="H32" s="36"/>
      <c r="I32" s="15"/>
      <c r="J32" s="36"/>
      <c r="K32" s="36"/>
      <c r="L32" s="36"/>
      <c r="M32" s="36"/>
      <c r="N32" s="36"/>
      <c r="O32" s="36"/>
      <c r="P32" s="36"/>
      <c r="Q32" s="37">
        <f t="shared" si="1"/>
        <v>0</v>
      </c>
      <c r="R32" s="38"/>
      <c r="S32" s="90"/>
      <c r="T32" s="40"/>
      <c r="U32" s="4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/>
      <c r="AZ32" s="43">
        <f t="shared" si="2"/>
        <v>0</v>
      </c>
      <c r="BA32" s="44"/>
      <c r="BB32" s="45"/>
      <c r="BC32" s="46"/>
      <c r="BD32" s="47"/>
      <c r="BE32" s="46"/>
      <c r="BF32" s="36"/>
      <c r="BG32" s="46"/>
      <c r="BH32" s="43"/>
      <c r="BI32" s="48"/>
      <c r="BJ32" s="43"/>
      <c r="BK32" s="48"/>
      <c r="BL32" s="39"/>
      <c r="BM32" s="28"/>
      <c r="BN32" s="44"/>
      <c r="BO32" s="49"/>
      <c r="BP32" s="44"/>
      <c r="BQ32" s="44"/>
      <c r="BR32" s="23"/>
      <c r="BS32" s="88">
        <f>C32+F32+R32+T32+BA32+BC32+BE32+BG32+BI32+BK32+BM32+BO32+BQ32</f>
        <v>0</v>
      </c>
      <c r="BT32" s="31">
        <f t="shared" si="3"/>
        <v>0</v>
      </c>
    </row>
    <row r="33" spans="1:72" ht="16.5" hidden="1" thickBot="1">
      <c r="A33" s="32">
        <v>29</v>
      </c>
      <c r="B33" s="32"/>
      <c r="C33" s="33"/>
      <c r="D33" s="34"/>
      <c r="E33" s="34"/>
      <c r="F33" s="35"/>
      <c r="G33" s="36"/>
      <c r="H33" s="36"/>
      <c r="I33" s="15"/>
      <c r="J33" s="36"/>
      <c r="K33" s="36"/>
      <c r="L33" s="36"/>
      <c r="M33" s="36"/>
      <c r="N33" s="36"/>
      <c r="O33" s="36"/>
      <c r="P33" s="36"/>
      <c r="Q33" s="37">
        <f t="shared" si="1"/>
        <v>0</v>
      </c>
      <c r="R33" s="38"/>
      <c r="S33" s="90"/>
      <c r="T33" s="40"/>
      <c r="U33" s="41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3"/>
      <c r="AZ33" s="43">
        <f t="shared" si="2"/>
        <v>0</v>
      </c>
      <c r="BA33" s="44"/>
      <c r="BB33" s="45"/>
      <c r="BC33" s="46"/>
      <c r="BD33" s="47"/>
      <c r="BE33" s="46"/>
      <c r="BF33" s="36"/>
      <c r="BG33" s="46"/>
      <c r="BH33" s="43"/>
      <c r="BI33" s="48"/>
      <c r="BJ33" s="43"/>
      <c r="BK33" s="48"/>
      <c r="BL33" s="39"/>
      <c r="BM33" s="28"/>
      <c r="BN33" s="44"/>
      <c r="BO33" s="49"/>
      <c r="BP33" s="44"/>
      <c r="BQ33" s="44"/>
      <c r="BR33" s="23"/>
      <c r="BS33" s="88">
        <f>C33+F33+R33+T33+BA33+BC33+BE33+BG33+BI33+BK33+BM33+BO33+BQ33</f>
        <v>0</v>
      </c>
      <c r="BT33" s="31">
        <f t="shared" si="3"/>
        <v>0</v>
      </c>
    </row>
    <row r="34" spans="1:72" ht="16.5" hidden="1" thickBot="1">
      <c r="A34" s="32">
        <v>30</v>
      </c>
      <c r="B34" s="32"/>
      <c r="C34" s="33"/>
      <c r="D34" s="34"/>
      <c r="E34" s="34"/>
      <c r="F34" s="35"/>
      <c r="G34" s="36"/>
      <c r="H34" s="36"/>
      <c r="I34" s="15"/>
      <c r="J34" s="36"/>
      <c r="K34" s="36"/>
      <c r="L34" s="36"/>
      <c r="M34" s="36"/>
      <c r="N34" s="36"/>
      <c r="O34" s="36"/>
      <c r="P34" s="36"/>
      <c r="Q34" s="37">
        <f t="shared" si="1"/>
        <v>0</v>
      </c>
      <c r="R34" s="38"/>
      <c r="S34" s="90"/>
      <c r="T34" s="40"/>
      <c r="U34" s="41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3"/>
      <c r="AZ34" s="43">
        <f t="shared" si="2"/>
        <v>0</v>
      </c>
      <c r="BA34" s="44"/>
      <c r="BB34" s="45"/>
      <c r="BC34" s="46"/>
      <c r="BD34" s="47"/>
      <c r="BE34" s="46"/>
      <c r="BF34" s="36"/>
      <c r="BG34" s="46"/>
      <c r="BH34" s="43"/>
      <c r="BI34" s="48"/>
      <c r="BJ34" s="43"/>
      <c r="BK34" s="48"/>
      <c r="BL34" s="39"/>
      <c r="BM34" s="28"/>
      <c r="BN34" s="44"/>
      <c r="BO34" s="49"/>
      <c r="BP34" s="44"/>
      <c r="BQ34" s="44"/>
      <c r="BR34" s="23"/>
      <c r="BS34" s="88">
        <f>C34+F34+R34+T34+BA34+BC34+BE34+BG34+BI34+BK34+BM34+BO34+BQ34</f>
        <v>0</v>
      </c>
      <c r="BT34" s="31">
        <f t="shared" si="3"/>
        <v>0</v>
      </c>
    </row>
    <row r="35" spans="1:72" ht="16.5" hidden="1" thickBot="1">
      <c r="A35" s="32">
        <v>31</v>
      </c>
      <c r="B35" s="32"/>
      <c r="C35" s="33"/>
      <c r="D35" s="34"/>
      <c r="E35" s="34"/>
      <c r="F35" s="35"/>
      <c r="G35" s="36"/>
      <c r="H35" s="36"/>
      <c r="I35" s="15"/>
      <c r="J35" s="36"/>
      <c r="K35" s="36"/>
      <c r="L35" s="36"/>
      <c r="M35" s="36"/>
      <c r="N35" s="36"/>
      <c r="O35" s="36"/>
      <c r="P35" s="36"/>
      <c r="Q35" s="37">
        <f t="shared" si="1"/>
        <v>0</v>
      </c>
      <c r="R35" s="38"/>
      <c r="S35" s="90"/>
      <c r="T35" s="40"/>
      <c r="U35" s="41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3"/>
      <c r="AZ35" s="43">
        <f t="shared" si="2"/>
        <v>0</v>
      </c>
      <c r="BA35" s="44"/>
      <c r="BB35" s="45"/>
      <c r="BC35" s="46"/>
      <c r="BD35" s="47"/>
      <c r="BE35" s="46"/>
      <c r="BF35" s="36"/>
      <c r="BG35" s="46"/>
      <c r="BH35" s="43"/>
      <c r="BI35" s="48"/>
      <c r="BJ35" s="43"/>
      <c r="BK35" s="48"/>
      <c r="BL35" s="39"/>
      <c r="BM35" s="28"/>
      <c r="BN35" s="44"/>
      <c r="BO35" s="49"/>
      <c r="BP35" s="44"/>
      <c r="BQ35" s="44"/>
      <c r="BR35" s="23"/>
      <c r="BS35" s="88">
        <f>C35+F35+R35+T35+BA35+BC35+BE35+BG35+BI35+BK35+BM35+BO35+BQ35</f>
        <v>0</v>
      </c>
      <c r="BT35" s="31">
        <f t="shared" si="3"/>
        <v>0</v>
      </c>
    </row>
    <row r="36" spans="1:72" ht="16.5" hidden="1" thickBot="1">
      <c r="A36" s="32">
        <v>32</v>
      </c>
      <c r="B36" s="32"/>
      <c r="C36" s="33"/>
      <c r="D36" s="34"/>
      <c r="E36" s="34"/>
      <c r="F36" s="35"/>
      <c r="G36" s="36"/>
      <c r="H36" s="36"/>
      <c r="I36" s="15"/>
      <c r="J36" s="36"/>
      <c r="K36" s="36"/>
      <c r="L36" s="36"/>
      <c r="M36" s="36"/>
      <c r="N36" s="36"/>
      <c r="O36" s="36"/>
      <c r="P36" s="36"/>
      <c r="Q36" s="37">
        <f t="shared" si="1"/>
        <v>0</v>
      </c>
      <c r="R36" s="38"/>
      <c r="S36" s="90"/>
      <c r="T36" s="40"/>
      <c r="U36" s="41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43">
        <f t="shared" si="2"/>
        <v>0</v>
      </c>
      <c r="BA36" s="44"/>
      <c r="BB36" s="45"/>
      <c r="BC36" s="46"/>
      <c r="BD36" s="47"/>
      <c r="BE36" s="46"/>
      <c r="BF36" s="36"/>
      <c r="BG36" s="46"/>
      <c r="BH36" s="43"/>
      <c r="BI36" s="48"/>
      <c r="BJ36" s="43"/>
      <c r="BK36" s="48"/>
      <c r="BL36" s="39"/>
      <c r="BM36" s="28"/>
      <c r="BN36" s="44"/>
      <c r="BO36" s="49"/>
      <c r="BP36" s="44"/>
      <c r="BQ36" s="44"/>
      <c r="BR36" s="23"/>
      <c r="BS36" s="88">
        <f>C36+F36+R36+T36+BA36+BC36+BE36+BG36+BI36+BK36+BM36+BO36+BQ36</f>
        <v>0</v>
      </c>
      <c r="BT36" s="31">
        <f t="shared" si="3"/>
        <v>0</v>
      </c>
    </row>
    <row r="37" spans="1:72" ht="16.5" thickBot="1">
      <c r="A37" s="32">
        <v>26</v>
      </c>
      <c r="B37" s="32" t="s">
        <v>6</v>
      </c>
      <c r="C37" s="33">
        <f>148797+32735</f>
        <v>181532</v>
      </c>
      <c r="D37" s="34">
        <f>(91048.87+36698.69)*1.00693</f>
        <v>128632.85059080001</v>
      </c>
      <c r="E37" s="34">
        <f>(20030.75+8073.71)*1.016867</f>
        <v>28578.497926819997</v>
      </c>
      <c r="F37" s="35">
        <v>2527</v>
      </c>
      <c r="G37" s="36"/>
      <c r="H37" s="36"/>
      <c r="I37" s="15"/>
      <c r="J37" s="36">
        <v>2188</v>
      </c>
      <c r="K37" s="36"/>
      <c r="L37" s="36"/>
      <c r="M37" s="36"/>
      <c r="N37" s="36"/>
      <c r="O37" s="36"/>
      <c r="P37" s="36"/>
      <c r="Q37" s="37">
        <f t="shared" si="1"/>
        <v>2188</v>
      </c>
      <c r="R37" s="38">
        <v>7329.805</v>
      </c>
      <c r="S37" s="90">
        <v>8512.5</v>
      </c>
      <c r="T37" s="40">
        <f>1620*1.53625</f>
        <v>2488.725</v>
      </c>
      <c r="U37" s="41"/>
      <c r="V37" s="42"/>
      <c r="W37" s="42">
        <v>5070</v>
      </c>
      <c r="X37" s="42"/>
      <c r="Y37" s="42"/>
      <c r="Z37" s="42"/>
      <c r="AA37" s="42">
        <v>464.4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3"/>
      <c r="AZ37" s="43">
        <f t="shared" si="2"/>
        <v>5534.4</v>
      </c>
      <c r="BA37" s="44">
        <v>448</v>
      </c>
      <c r="BB37" s="45"/>
      <c r="BC37" s="46"/>
      <c r="BD37" s="47"/>
      <c r="BE37" s="46">
        <v>165</v>
      </c>
      <c r="BF37" s="36"/>
      <c r="BG37" s="46">
        <f>2313*1.035794</f>
        <v>2395.7915220000004</v>
      </c>
      <c r="BH37" s="43"/>
      <c r="BI37" s="48"/>
      <c r="BJ37" s="43"/>
      <c r="BK37" s="48"/>
      <c r="BL37" s="39"/>
      <c r="BM37" s="28">
        <f>153*1.11235</f>
        <v>170.18955</v>
      </c>
      <c r="BN37" s="44"/>
      <c r="BO37" s="49"/>
      <c r="BP37" s="44"/>
      <c r="BQ37" s="44"/>
      <c r="BR37" s="23"/>
      <c r="BS37" s="88">
        <f>C37+F37+R37+T37+BA37+BC37+BE37+BG37+BI37+BK37+BM37+BO37+BQ37</f>
        <v>197056.51107200002</v>
      </c>
      <c r="BT37" s="31">
        <f t="shared" si="3"/>
        <v>173446.24851762</v>
      </c>
    </row>
    <row r="38" spans="1:72" ht="16.5" thickBot="1">
      <c r="A38" s="32">
        <v>27</v>
      </c>
      <c r="B38" s="50" t="s">
        <v>11</v>
      </c>
      <c r="C38" s="33">
        <f>616770+135690</f>
        <v>752460</v>
      </c>
      <c r="D38" s="34">
        <f>(411394.45+103409.88)*1.00693</f>
        <v>518371.92400690005</v>
      </c>
      <c r="E38" s="34">
        <f>(88203.74+24027.95)*1.016867</f>
        <v>114124.70191523</v>
      </c>
      <c r="F38" s="35">
        <v>32648</v>
      </c>
      <c r="G38" s="36"/>
      <c r="H38" s="36"/>
      <c r="I38" s="15"/>
      <c r="J38" s="36">
        <v>6308</v>
      </c>
      <c r="K38" s="36"/>
      <c r="L38" s="36"/>
      <c r="M38" s="36"/>
      <c r="N38" s="36"/>
      <c r="O38" s="36"/>
      <c r="P38" s="36"/>
      <c r="Q38" s="37">
        <f t="shared" si="1"/>
        <v>6308</v>
      </c>
      <c r="R38" s="38">
        <v>128882.6099</v>
      </c>
      <c r="S38" s="90">
        <v>52855.35</v>
      </c>
      <c r="T38" s="40">
        <f>3666*1.53625</f>
        <v>5631.8925</v>
      </c>
      <c r="U38" s="41"/>
      <c r="V38" s="42">
        <v>403.36</v>
      </c>
      <c r="W38" s="42"/>
      <c r="X38" s="42"/>
      <c r="Y38" s="42"/>
      <c r="Z38" s="34">
        <v>2110.2</v>
      </c>
      <c r="AA38" s="42">
        <v>1548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3"/>
      <c r="AZ38" s="43">
        <f t="shared" si="2"/>
        <v>4061.56</v>
      </c>
      <c r="BA38" s="44">
        <v>691</v>
      </c>
      <c r="BB38" s="45"/>
      <c r="BC38" s="46">
        <f>86906*1.100234</f>
        <v>95616.93600399999</v>
      </c>
      <c r="BD38" s="47"/>
      <c r="BE38" s="46">
        <v>1047</v>
      </c>
      <c r="BF38" s="36">
        <v>145.77</v>
      </c>
      <c r="BG38" s="46">
        <f>10552*1.035794</f>
        <v>10929.698288000001</v>
      </c>
      <c r="BH38" s="43">
        <v>11941.91</v>
      </c>
      <c r="BI38" s="48"/>
      <c r="BJ38" s="43"/>
      <c r="BK38" s="48"/>
      <c r="BL38" s="39"/>
      <c r="BM38" s="28">
        <f>154*1.11235</f>
        <v>171.3019</v>
      </c>
      <c r="BN38" s="44"/>
      <c r="BO38" s="49"/>
      <c r="BP38" s="44"/>
      <c r="BQ38" s="44"/>
      <c r="BR38" s="23"/>
      <c r="BS38" s="88">
        <f>C38+F38+R38+T38+BA38+BC38+BE38+BG38+BI38+BK38+BM38+BO38+BQ38</f>
        <v>1028078.4385919999</v>
      </c>
      <c r="BT38" s="31">
        <f t="shared" si="3"/>
        <v>707809.2159221302</v>
      </c>
    </row>
    <row r="39" spans="1:72" ht="16.5" thickBot="1">
      <c r="A39" s="32">
        <v>28</v>
      </c>
      <c r="B39" s="50" t="s">
        <v>31</v>
      </c>
      <c r="C39" s="33">
        <f>243773+53630</f>
        <v>297403</v>
      </c>
      <c r="D39" s="34">
        <f>(148297.24+57479.62)*1.00693</f>
        <v>207202.8936398</v>
      </c>
      <c r="E39" s="34">
        <f>(31801.53+12124.84)*1.016867</f>
        <v>44667.27608278999</v>
      </c>
      <c r="F39" s="35">
        <v>22122</v>
      </c>
      <c r="G39" s="36"/>
      <c r="H39" s="36"/>
      <c r="I39" s="15"/>
      <c r="J39" s="36">
        <v>4293</v>
      </c>
      <c r="K39" s="36"/>
      <c r="L39" s="36"/>
      <c r="M39" s="36"/>
      <c r="N39" s="36"/>
      <c r="O39" s="36"/>
      <c r="P39" s="36"/>
      <c r="Q39" s="37">
        <f t="shared" si="1"/>
        <v>4293</v>
      </c>
      <c r="R39" s="38">
        <v>28938.5629</v>
      </c>
      <c r="S39" s="90">
        <v>21132.86</v>
      </c>
      <c r="T39" s="40">
        <f>2497*1.53625</f>
        <v>3836.0162499999997</v>
      </c>
      <c r="U39" s="41"/>
      <c r="V39" s="42">
        <v>322.68</v>
      </c>
      <c r="W39" s="42"/>
      <c r="X39" s="42"/>
      <c r="Y39" s="42"/>
      <c r="Z39" s="42">
        <v>2634</v>
      </c>
      <c r="AA39" s="42">
        <v>619.2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3"/>
      <c r="AZ39" s="43">
        <f t="shared" si="2"/>
        <v>3575.88</v>
      </c>
      <c r="BA39" s="44">
        <v>197</v>
      </c>
      <c r="BB39" s="45"/>
      <c r="BC39" s="46">
        <f>14951*1.100234</f>
        <v>16449.598534</v>
      </c>
      <c r="BD39" s="47"/>
      <c r="BE39" s="46"/>
      <c r="BF39" s="36"/>
      <c r="BG39" s="46">
        <f>4075*1.035794</f>
        <v>4220.86055</v>
      </c>
      <c r="BH39" s="43">
        <v>174.27</v>
      </c>
      <c r="BI39" s="48"/>
      <c r="BJ39" s="43"/>
      <c r="BK39" s="48"/>
      <c r="BL39" s="39"/>
      <c r="BM39" s="28">
        <f>154*1.11235</f>
        <v>171.3019</v>
      </c>
      <c r="BN39" s="44"/>
      <c r="BO39" s="49"/>
      <c r="BP39" s="44"/>
      <c r="BQ39" s="44"/>
      <c r="BR39" s="23"/>
      <c r="BS39" s="88">
        <f>C39+F39+R39+T39+BA39+BC39+BE39+BG39+BI39+BK39+BM39+BO39+BQ39</f>
        <v>373338.340134</v>
      </c>
      <c r="BT39" s="31">
        <f t="shared" si="3"/>
        <v>281046.17972259</v>
      </c>
    </row>
    <row r="40" spans="1:72" ht="16.5" thickBot="1">
      <c r="A40" s="32">
        <v>29</v>
      </c>
      <c r="B40" s="32" t="s">
        <v>0</v>
      </c>
      <c r="C40" s="33">
        <f>1231791+270993</f>
        <v>1502784</v>
      </c>
      <c r="D40" s="34">
        <f>(860335.66+170680.03)*1.00693</f>
        <v>1038160.6287317001</v>
      </c>
      <c r="E40" s="34">
        <f>(192788.78+39792.53)*1.016867</f>
        <v>236504.25895577</v>
      </c>
      <c r="F40" s="35">
        <v>16859</v>
      </c>
      <c r="G40" s="36"/>
      <c r="H40" s="36"/>
      <c r="I40" s="15"/>
      <c r="J40" s="36">
        <v>6555</v>
      </c>
      <c r="K40" s="36"/>
      <c r="L40" s="36"/>
      <c r="M40" s="36"/>
      <c r="N40" s="36"/>
      <c r="O40" s="36"/>
      <c r="P40" s="37"/>
      <c r="Q40" s="37">
        <f t="shared" si="1"/>
        <v>6555</v>
      </c>
      <c r="R40" s="38">
        <v>267353.0975</v>
      </c>
      <c r="S40" s="90">
        <v>44328.58</v>
      </c>
      <c r="T40" s="40">
        <f>7940*1.53625</f>
        <v>12197.824999999999</v>
      </c>
      <c r="U40" s="41"/>
      <c r="V40" s="42">
        <v>385.87</v>
      </c>
      <c r="W40" s="42"/>
      <c r="X40" s="42"/>
      <c r="Y40" s="42"/>
      <c r="Z40" s="42"/>
      <c r="AA40" s="42">
        <v>2012.4</v>
      </c>
      <c r="AB40" s="42">
        <v>4900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3">
        <v>73494.24</v>
      </c>
      <c r="AZ40" s="43">
        <f t="shared" si="2"/>
        <v>80792.51000000001</v>
      </c>
      <c r="BA40" s="44">
        <v>706</v>
      </c>
      <c r="BB40" s="45">
        <v>1370</v>
      </c>
      <c r="BC40" s="46"/>
      <c r="BD40" s="47"/>
      <c r="BE40" s="46"/>
      <c r="BF40" s="36"/>
      <c r="BG40" s="46">
        <f>21126*1.035794</f>
        <v>21882.184044</v>
      </c>
      <c r="BH40" s="43">
        <v>24511.22</v>
      </c>
      <c r="BI40" s="48">
        <f>62963+11901</f>
        <v>74864</v>
      </c>
      <c r="BJ40" s="43">
        <v>174155.09</v>
      </c>
      <c r="BK40" s="48"/>
      <c r="BL40" s="39"/>
      <c r="BM40" s="28">
        <f>155*1.11235</f>
        <v>172.41424999999998</v>
      </c>
      <c r="BN40" s="44"/>
      <c r="BO40" s="49">
        <v>3000</v>
      </c>
      <c r="BP40" s="44"/>
      <c r="BQ40" s="44"/>
      <c r="BR40" s="23"/>
      <c r="BS40" s="88">
        <f>C40+F40+R40+T40+BA40+BC40+BE40+BG40+BI40+BK40+BM40+BO40+BQ40</f>
        <v>1899818.5207939998</v>
      </c>
      <c r="BT40" s="31">
        <f t="shared" si="3"/>
        <v>1606377.2876874702</v>
      </c>
    </row>
    <row r="41" spans="1:72" ht="16.5" thickBot="1">
      <c r="A41" s="32">
        <v>30</v>
      </c>
      <c r="B41" s="32" t="s">
        <v>32</v>
      </c>
      <c r="C41" s="33">
        <f>322203+70885</f>
        <v>393088</v>
      </c>
      <c r="D41" s="34">
        <f>(199770.57+79375.56)*1.00693</f>
        <v>281080.6126809</v>
      </c>
      <c r="E41" s="34">
        <f>(43361.14+16565.27)*1.016867</f>
        <v>60937.18875747</v>
      </c>
      <c r="F41" s="35">
        <v>5166</v>
      </c>
      <c r="G41" s="36"/>
      <c r="H41" s="36"/>
      <c r="I41" s="15"/>
      <c r="J41" s="36">
        <v>2982</v>
      </c>
      <c r="K41" s="36"/>
      <c r="L41" s="36"/>
      <c r="M41" s="36"/>
      <c r="N41" s="36"/>
      <c r="O41" s="36"/>
      <c r="P41" s="37"/>
      <c r="Q41" s="37">
        <f t="shared" si="1"/>
        <v>2982</v>
      </c>
      <c r="R41" s="38">
        <v>60335.9982</v>
      </c>
      <c r="S41" s="90">
        <v>33390.48</v>
      </c>
      <c r="T41" s="40">
        <f>2005*1.53625</f>
        <v>3080.1812499999996</v>
      </c>
      <c r="U41" s="41"/>
      <c r="V41" s="42">
        <v>165.37</v>
      </c>
      <c r="W41" s="34">
        <v>1560</v>
      </c>
      <c r="X41" s="42"/>
      <c r="Y41" s="42"/>
      <c r="Z41" s="42"/>
      <c r="AA41" s="42">
        <v>464.4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3"/>
      <c r="AZ41" s="43">
        <f t="shared" si="2"/>
        <v>2189.77</v>
      </c>
      <c r="BA41" s="44">
        <v>263</v>
      </c>
      <c r="BB41" s="45"/>
      <c r="BC41" s="46"/>
      <c r="BD41" s="47"/>
      <c r="BE41" s="46"/>
      <c r="BF41" s="36"/>
      <c r="BG41" s="46">
        <f>15442*1.035794</f>
        <v>15994.730948000002</v>
      </c>
      <c r="BH41" s="43">
        <f>27379.55-7479.56</f>
        <v>19899.989999999998</v>
      </c>
      <c r="BI41" s="48"/>
      <c r="BJ41" s="43"/>
      <c r="BK41" s="48"/>
      <c r="BL41" s="39"/>
      <c r="BM41" s="28">
        <f>154*1.11235</f>
        <v>171.3019</v>
      </c>
      <c r="BN41" s="44"/>
      <c r="BO41" s="49">
        <v>400</v>
      </c>
      <c r="BP41" s="44"/>
      <c r="BQ41" s="44"/>
      <c r="BR41" s="23"/>
      <c r="BS41" s="88">
        <f>C41+F41+R41+T41+BA41+BC41+BE41+BG41+BI41+BK41+BM41+BO41+BQ41</f>
        <v>478499.21229800006</v>
      </c>
      <c r="BT41" s="31">
        <f t="shared" si="3"/>
        <v>400480.04143837</v>
      </c>
    </row>
    <row r="42" spans="1:72" ht="16.5" thickBot="1">
      <c r="A42" s="32">
        <v>31</v>
      </c>
      <c r="B42" s="32" t="s">
        <v>3</v>
      </c>
      <c r="C42" s="33">
        <f>706845+155506</f>
        <v>862351</v>
      </c>
      <c r="D42" s="34">
        <f>(510542.75+103835.39)*1.00693</f>
        <v>618635.7805102001</v>
      </c>
      <c r="E42" s="34">
        <f>(106475.16+22735.06)*1.016867</f>
        <v>131389.60878074</v>
      </c>
      <c r="F42" s="35">
        <v>10424</v>
      </c>
      <c r="G42" s="36"/>
      <c r="H42" s="36"/>
      <c r="I42" s="15"/>
      <c r="J42" s="36">
        <v>4570</v>
      </c>
      <c r="K42" s="36"/>
      <c r="L42" s="36"/>
      <c r="M42" s="36"/>
      <c r="N42" s="36"/>
      <c r="O42" s="36"/>
      <c r="P42" s="37"/>
      <c r="Q42" s="37">
        <f t="shared" si="1"/>
        <v>4570</v>
      </c>
      <c r="R42" s="38">
        <v>155542.1578</v>
      </c>
      <c r="S42" s="90">
        <v>23373.24</v>
      </c>
      <c r="T42" s="40">
        <f>1664*1.53625</f>
        <v>2556.3199999999997</v>
      </c>
      <c r="U42" s="41"/>
      <c r="V42" s="34">
        <v>322.2</v>
      </c>
      <c r="W42" s="42"/>
      <c r="X42" s="42"/>
      <c r="Y42" s="42"/>
      <c r="Z42" s="42"/>
      <c r="AA42" s="42">
        <v>1548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3"/>
      <c r="AZ42" s="43">
        <f t="shared" si="2"/>
        <v>1870.2</v>
      </c>
      <c r="BA42" s="44">
        <v>821</v>
      </c>
      <c r="BB42" s="45">
        <v>936</v>
      </c>
      <c r="BC42" s="46">
        <f>93772*1.100234</f>
        <v>103171.142648</v>
      </c>
      <c r="BD42" s="47">
        <f>270012.84+2155.28</f>
        <v>272168.12000000005</v>
      </c>
      <c r="BE42" s="46">
        <v>2249</v>
      </c>
      <c r="BF42" s="36">
        <v>2374.77</v>
      </c>
      <c r="BG42" s="46">
        <f>10706*1.035794</f>
        <v>11089.210564</v>
      </c>
      <c r="BH42" s="43">
        <v>9657.88</v>
      </c>
      <c r="BI42" s="48"/>
      <c r="BJ42" s="43"/>
      <c r="BK42" s="48"/>
      <c r="BL42" s="39"/>
      <c r="BM42" s="28">
        <f>154*1.11235</f>
        <v>171.3019</v>
      </c>
      <c r="BN42" s="44"/>
      <c r="BO42" s="49">
        <v>700</v>
      </c>
      <c r="BP42" s="44"/>
      <c r="BQ42" s="44"/>
      <c r="BR42" s="23"/>
      <c r="BS42" s="88">
        <f>C42+F42+R42+T42+BA42+BC42+BE42+BG42+BI42+BK42+BM42+BO42+BQ42</f>
        <v>1149075.132912</v>
      </c>
      <c r="BT42" s="31">
        <f t="shared" si="3"/>
        <v>1064975.59929094</v>
      </c>
    </row>
    <row r="43" spans="1:72" ht="16.5" thickBot="1">
      <c r="A43" s="32">
        <v>32</v>
      </c>
      <c r="B43" s="32" t="s">
        <v>33</v>
      </c>
      <c r="C43" s="33">
        <f>290958+64011</f>
        <v>354969</v>
      </c>
      <c r="D43" s="34">
        <f>(203000.61+47667.43)*1.00693</f>
        <v>252405.1695172</v>
      </c>
      <c r="E43" s="34">
        <f>(41318.67+8869.86)*1.016867</f>
        <v>51035.05993551</v>
      </c>
      <c r="F43" s="35">
        <v>3974</v>
      </c>
      <c r="G43" s="36"/>
      <c r="H43" s="36"/>
      <c r="I43" s="15">
        <v>117000</v>
      </c>
      <c r="J43" s="36">
        <v>2188</v>
      </c>
      <c r="K43" s="36"/>
      <c r="L43" s="36"/>
      <c r="M43" s="36"/>
      <c r="N43" s="36"/>
      <c r="O43" s="36"/>
      <c r="P43" s="37"/>
      <c r="Q43" s="37">
        <f t="shared" si="1"/>
        <v>119188</v>
      </c>
      <c r="R43" s="38">
        <v>48034.2448</v>
      </c>
      <c r="S43" s="90">
        <v>25471.68</v>
      </c>
      <c r="T43" s="40">
        <f>1699*1.53625</f>
        <v>2610.08875</v>
      </c>
      <c r="U43" s="41"/>
      <c r="V43" s="42">
        <v>161.1</v>
      </c>
      <c r="W43" s="42"/>
      <c r="X43" s="42"/>
      <c r="Y43" s="42"/>
      <c r="Z43" s="42"/>
      <c r="AA43" s="42">
        <v>387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3"/>
      <c r="AZ43" s="43">
        <f t="shared" si="2"/>
        <v>548.1</v>
      </c>
      <c r="BA43" s="44">
        <v>528</v>
      </c>
      <c r="BB43" s="45">
        <v>801</v>
      </c>
      <c r="BC43" s="46">
        <f>22215*1.100234</f>
        <v>24441.69831</v>
      </c>
      <c r="BD43" s="47">
        <v>74153.94</v>
      </c>
      <c r="BE43" s="46">
        <v>405</v>
      </c>
      <c r="BF43" s="36">
        <v>597.77</v>
      </c>
      <c r="BG43" s="46">
        <f>3679*1.035794</f>
        <v>3810.6861260000005</v>
      </c>
      <c r="BH43" s="43">
        <v>3488.18</v>
      </c>
      <c r="BI43" s="48"/>
      <c r="BJ43" s="43"/>
      <c r="BK43" s="48"/>
      <c r="BL43" s="39"/>
      <c r="BM43" s="28">
        <f>154*1.11235</f>
        <v>171.3019</v>
      </c>
      <c r="BN43" s="44"/>
      <c r="BO43" s="49"/>
      <c r="BP43" s="44"/>
      <c r="BQ43" s="44"/>
      <c r="BR43" s="23"/>
      <c r="BS43" s="88">
        <f>C43+F43+R43+T43+BA43+BC43+BE43+BG43+BI43+BK43+BM43+BO43+BQ43</f>
        <v>438944.019886</v>
      </c>
      <c r="BT43" s="31">
        <f t="shared" si="3"/>
        <v>527688.8994527101</v>
      </c>
    </row>
    <row r="44" spans="1:72" ht="16.5" hidden="1" thickBot="1">
      <c r="A44" s="32">
        <v>40</v>
      </c>
      <c r="B44" s="32"/>
      <c r="C44" s="33"/>
      <c r="D44" s="34"/>
      <c r="E44" s="34"/>
      <c r="F44" s="35"/>
      <c r="G44" s="36"/>
      <c r="H44" s="36"/>
      <c r="I44" s="15"/>
      <c r="J44" s="36"/>
      <c r="K44" s="36"/>
      <c r="L44" s="36"/>
      <c r="M44" s="36"/>
      <c r="N44" s="36"/>
      <c r="O44" s="36"/>
      <c r="P44" s="37"/>
      <c r="Q44" s="37">
        <f t="shared" si="1"/>
        <v>0</v>
      </c>
      <c r="R44" s="38"/>
      <c r="S44" s="90"/>
      <c r="T44" s="40"/>
      <c r="U44" s="41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3"/>
      <c r="AZ44" s="43">
        <f t="shared" si="2"/>
        <v>0</v>
      </c>
      <c r="BA44" s="44"/>
      <c r="BB44" s="45"/>
      <c r="BC44" s="46"/>
      <c r="BD44" s="47"/>
      <c r="BE44" s="46"/>
      <c r="BF44" s="36"/>
      <c r="BG44" s="46"/>
      <c r="BH44" s="43"/>
      <c r="BI44" s="48"/>
      <c r="BJ44" s="43"/>
      <c r="BK44" s="48"/>
      <c r="BL44" s="39"/>
      <c r="BM44" s="28"/>
      <c r="BN44" s="44"/>
      <c r="BO44" s="49"/>
      <c r="BP44" s="44"/>
      <c r="BQ44" s="44"/>
      <c r="BR44" s="23"/>
      <c r="BS44" s="88">
        <f>C44+F44+R44+T44+BA44+BC44+BE44+BG44+BI44+BK44+BM44+BO44+BQ44</f>
        <v>0</v>
      </c>
      <c r="BT44" s="31">
        <f t="shared" si="3"/>
        <v>0</v>
      </c>
    </row>
    <row r="45" spans="1:72" ht="16.5" hidden="1" thickBot="1">
      <c r="A45" s="32">
        <v>41</v>
      </c>
      <c r="B45" s="32"/>
      <c r="C45" s="33"/>
      <c r="D45" s="34"/>
      <c r="E45" s="34"/>
      <c r="F45" s="35"/>
      <c r="G45" s="36"/>
      <c r="H45" s="36"/>
      <c r="I45" s="15"/>
      <c r="J45" s="36"/>
      <c r="K45" s="36"/>
      <c r="L45" s="36"/>
      <c r="M45" s="36"/>
      <c r="N45" s="36"/>
      <c r="O45" s="36"/>
      <c r="P45" s="37"/>
      <c r="Q45" s="37">
        <f t="shared" si="1"/>
        <v>0</v>
      </c>
      <c r="R45" s="38"/>
      <c r="S45" s="90"/>
      <c r="T45" s="40"/>
      <c r="U45" s="4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3"/>
      <c r="AZ45" s="43">
        <f t="shared" si="2"/>
        <v>0</v>
      </c>
      <c r="BA45" s="44"/>
      <c r="BB45" s="45"/>
      <c r="BC45" s="46"/>
      <c r="BD45" s="47"/>
      <c r="BE45" s="46"/>
      <c r="BF45" s="36"/>
      <c r="BG45" s="46"/>
      <c r="BH45" s="43"/>
      <c r="BI45" s="48"/>
      <c r="BJ45" s="43"/>
      <c r="BK45" s="48"/>
      <c r="BL45" s="39"/>
      <c r="BM45" s="28"/>
      <c r="BN45" s="44"/>
      <c r="BO45" s="49"/>
      <c r="BP45" s="44"/>
      <c r="BQ45" s="44"/>
      <c r="BR45" s="23"/>
      <c r="BS45" s="88">
        <f>C45+F45+R45+T45+BA45+BC45+BE45+BG45+BI45+BK45+BM45+BO45+BQ45</f>
        <v>0</v>
      </c>
      <c r="BT45" s="31">
        <f t="shared" si="3"/>
        <v>0</v>
      </c>
    </row>
    <row r="46" spans="1:72" ht="16.5" hidden="1" thickBot="1">
      <c r="A46" s="32">
        <v>42</v>
      </c>
      <c r="B46" s="32"/>
      <c r="C46" s="33"/>
      <c r="D46" s="34"/>
      <c r="E46" s="34"/>
      <c r="F46" s="35"/>
      <c r="G46" s="36"/>
      <c r="H46" s="36"/>
      <c r="I46" s="15"/>
      <c r="J46" s="36"/>
      <c r="K46" s="36"/>
      <c r="L46" s="36"/>
      <c r="M46" s="36"/>
      <c r="N46" s="36"/>
      <c r="O46" s="36"/>
      <c r="P46" s="37"/>
      <c r="Q46" s="37">
        <f t="shared" si="1"/>
        <v>0</v>
      </c>
      <c r="R46" s="38"/>
      <c r="S46" s="90"/>
      <c r="T46" s="40"/>
      <c r="U46" s="41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3"/>
      <c r="AZ46" s="43">
        <f t="shared" si="2"/>
        <v>0</v>
      </c>
      <c r="BA46" s="44"/>
      <c r="BB46" s="45"/>
      <c r="BC46" s="46"/>
      <c r="BD46" s="47"/>
      <c r="BE46" s="46"/>
      <c r="BF46" s="36"/>
      <c r="BG46" s="46"/>
      <c r="BH46" s="43"/>
      <c r="BI46" s="48"/>
      <c r="BJ46" s="43"/>
      <c r="BK46" s="48"/>
      <c r="BL46" s="39"/>
      <c r="BM46" s="28"/>
      <c r="BN46" s="44"/>
      <c r="BO46" s="49"/>
      <c r="BP46" s="44"/>
      <c r="BQ46" s="44"/>
      <c r="BR46" s="23"/>
      <c r="BS46" s="88">
        <f>C46+F46+R46+T46+BA46+BC46+BE46+BG46+BI46+BK46+BM46+BO46+BQ46</f>
        <v>0</v>
      </c>
      <c r="BT46" s="31">
        <f t="shared" si="3"/>
        <v>0</v>
      </c>
    </row>
    <row r="47" spans="1:72" ht="16.5" thickBot="1">
      <c r="A47" s="32">
        <v>33</v>
      </c>
      <c r="B47" s="50" t="s">
        <v>34</v>
      </c>
      <c r="C47" s="33">
        <f>359297+79045</f>
        <v>438342</v>
      </c>
      <c r="D47" s="34">
        <f>(246491.64+69312.35)*1.00693</f>
        <v>317992.5116507</v>
      </c>
      <c r="E47" s="34">
        <f>(50650.71+14793.39)*1.016867</f>
        <v>66547.9456347</v>
      </c>
      <c r="F47" s="35">
        <v>18680</v>
      </c>
      <c r="G47" s="36"/>
      <c r="H47" s="36"/>
      <c r="I47" s="15"/>
      <c r="J47" s="36">
        <v>3896</v>
      </c>
      <c r="K47" s="36"/>
      <c r="L47" s="36"/>
      <c r="M47" s="36"/>
      <c r="N47" s="36"/>
      <c r="O47" s="36"/>
      <c r="P47" s="36"/>
      <c r="Q47" s="37">
        <f t="shared" si="1"/>
        <v>3896</v>
      </c>
      <c r="R47" s="38">
        <v>63844.4494</v>
      </c>
      <c r="S47" s="90">
        <v>32678.23</v>
      </c>
      <c r="T47" s="40">
        <f>2963*1.53625</f>
        <v>4551.90875</v>
      </c>
      <c r="U47" s="41"/>
      <c r="V47" s="34">
        <v>516</v>
      </c>
      <c r="W47" s="42"/>
      <c r="X47" s="42"/>
      <c r="Y47" s="34"/>
      <c r="Z47" s="42">
        <v>570</v>
      </c>
      <c r="AA47" s="42">
        <v>1083.6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3"/>
      <c r="AZ47" s="43">
        <f t="shared" si="2"/>
        <v>2169.6</v>
      </c>
      <c r="BA47" s="44">
        <v>362</v>
      </c>
      <c r="BB47" s="45"/>
      <c r="BC47" s="46">
        <f>65921*1.100234</f>
        <v>72528.525514</v>
      </c>
      <c r="BD47" s="47">
        <v>266705.69</v>
      </c>
      <c r="BE47" s="46"/>
      <c r="BF47" s="36"/>
      <c r="BG47" s="46">
        <f>5551*1.035794</f>
        <v>5749.692494000001</v>
      </c>
      <c r="BH47" s="43">
        <v>4777.02</v>
      </c>
      <c r="BI47" s="48"/>
      <c r="BJ47" s="43"/>
      <c r="BK47" s="48"/>
      <c r="BL47" s="39"/>
      <c r="BM47" s="28">
        <f>153*1.11235</f>
        <v>170.18955</v>
      </c>
      <c r="BN47" s="44"/>
      <c r="BO47" s="49">
        <v>400</v>
      </c>
      <c r="BP47" s="44"/>
      <c r="BQ47" s="44"/>
      <c r="BR47" s="23"/>
      <c r="BS47" s="88">
        <f>C47+F47+R47+T47+BA47+BC47+BE47+BG47+BI47+BK47+BM47+BO47+BQ47</f>
        <v>604628.7657079999</v>
      </c>
      <c r="BT47" s="31">
        <f t="shared" si="3"/>
        <v>694766.9972854</v>
      </c>
    </row>
    <row r="48" spans="1:72" ht="16.5" thickBot="1">
      <c r="A48" s="32">
        <v>34</v>
      </c>
      <c r="B48" s="32" t="s">
        <v>35</v>
      </c>
      <c r="C48" s="33">
        <f>162606+35773</f>
        <v>198379</v>
      </c>
      <c r="D48" s="34">
        <f>(101010.74+29578.94)*1.00693</f>
        <v>131494.66648240003</v>
      </c>
      <c r="E48" s="34">
        <f>(22222.36+6632.24)*1.016867</f>
        <v>29341.2905382</v>
      </c>
      <c r="F48" s="35">
        <v>3062</v>
      </c>
      <c r="G48" s="36"/>
      <c r="H48" s="36"/>
      <c r="I48" s="15"/>
      <c r="J48" s="36">
        <v>2585</v>
      </c>
      <c r="K48" s="36"/>
      <c r="L48" s="36"/>
      <c r="M48" s="36"/>
      <c r="N48" s="36"/>
      <c r="O48" s="36"/>
      <c r="P48" s="37"/>
      <c r="Q48" s="37">
        <f t="shared" si="1"/>
        <v>2585</v>
      </c>
      <c r="R48" s="38">
        <v>13821.918</v>
      </c>
      <c r="S48" s="90">
        <v>8369.81</v>
      </c>
      <c r="T48" s="40">
        <f>1710*1.53625</f>
        <v>2626.9874999999997</v>
      </c>
      <c r="U48" s="41"/>
      <c r="V48" s="42"/>
      <c r="W48" s="42"/>
      <c r="X48" s="42"/>
      <c r="Y48" s="42"/>
      <c r="Z48" s="42"/>
      <c r="AA48" s="42">
        <v>619.2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3"/>
      <c r="AZ48" s="43">
        <f t="shared" si="2"/>
        <v>619.2</v>
      </c>
      <c r="BA48" s="44">
        <v>296</v>
      </c>
      <c r="BB48" s="45">
        <v>1092</v>
      </c>
      <c r="BC48" s="46">
        <f>22397*1.100234</f>
        <v>24641.940897999997</v>
      </c>
      <c r="BD48" s="47">
        <v>104053.21</v>
      </c>
      <c r="BE48" s="46">
        <v>526</v>
      </c>
      <c r="BF48" s="36">
        <v>810.4</v>
      </c>
      <c r="BG48" s="46">
        <f>1388*1.035794</f>
        <v>1437.682072</v>
      </c>
      <c r="BH48" s="43">
        <v>977.79</v>
      </c>
      <c r="BI48" s="48"/>
      <c r="BJ48" s="43"/>
      <c r="BK48" s="48"/>
      <c r="BL48" s="39"/>
      <c r="BM48" s="28">
        <f>877*1.11235</f>
        <v>975.53095</v>
      </c>
      <c r="BN48" s="44">
        <v>1574</v>
      </c>
      <c r="BO48" s="49"/>
      <c r="BP48" s="44"/>
      <c r="BQ48" s="44"/>
      <c r="BR48" s="23"/>
      <c r="BS48" s="88">
        <f>C48+F48+R48+T48+BA48+BC48+BE48+BG48+BI48+BK48+BM48+BO48+BQ48</f>
        <v>245767.05941999998</v>
      </c>
      <c r="BT48" s="31">
        <f t="shared" si="3"/>
        <v>280917.36702060007</v>
      </c>
    </row>
    <row r="49" spans="1:72" ht="16.5" thickBot="1">
      <c r="A49" s="32">
        <v>35</v>
      </c>
      <c r="B49" s="32" t="s">
        <v>95</v>
      </c>
      <c r="C49" s="33">
        <f>107704+23695</f>
        <v>131399</v>
      </c>
      <c r="D49" s="34">
        <f>106218.09*1.00693</f>
        <v>106954.1813637</v>
      </c>
      <c r="E49" s="34">
        <f>23560.07*1.016867</f>
        <v>23957.45770069</v>
      </c>
      <c r="F49" s="35">
        <v>3535</v>
      </c>
      <c r="G49" s="36"/>
      <c r="H49" s="36"/>
      <c r="I49" s="15"/>
      <c r="J49" s="36">
        <v>3379</v>
      </c>
      <c r="K49" s="36"/>
      <c r="L49" s="36"/>
      <c r="M49" s="36"/>
      <c r="N49" s="36"/>
      <c r="O49" s="36"/>
      <c r="P49" s="37"/>
      <c r="Q49" s="37">
        <f t="shared" si="1"/>
        <v>3379</v>
      </c>
      <c r="R49" s="38">
        <v>39047.5343</v>
      </c>
      <c r="S49" s="90">
        <f>4734.26+5349.91</f>
        <v>10084.17</v>
      </c>
      <c r="T49" s="40">
        <f>1598*1.53625</f>
        <v>2454.9275</v>
      </c>
      <c r="U49" s="41"/>
      <c r="V49" s="42"/>
      <c r="W49" s="42"/>
      <c r="X49" s="42"/>
      <c r="Y49" s="42"/>
      <c r="Z49" s="42"/>
      <c r="AA49" s="42">
        <v>774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3"/>
      <c r="AZ49" s="43">
        <f t="shared" si="2"/>
        <v>774</v>
      </c>
      <c r="BA49" s="44">
        <v>417</v>
      </c>
      <c r="BB49" s="45">
        <v>198</v>
      </c>
      <c r="BC49" s="46">
        <f>10921*1.100234</f>
        <v>12015.655514</v>
      </c>
      <c r="BD49" s="47"/>
      <c r="BE49" s="46"/>
      <c r="BF49" s="36"/>
      <c r="BG49" s="46">
        <f>8768*1.035794</f>
        <v>9081.841792000001</v>
      </c>
      <c r="BH49" s="43">
        <v>12314.05</v>
      </c>
      <c r="BI49" s="48"/>
      <c r="BJ49" s="43"/>
      <c r="BK49" s="48">
        <v>1856</v>
      </c>
      <c r="BL49" s="39">
        <v>86008.72</v>
      </c>
      <c r="BM49" s="28">
        <f>662*1.11235</f>
        <v>736.3756999999999</v>
      </c>
      <c r="BN49" s="44">
        <v>260</v>
      </c>
      <c r="BO49" s="49"/>
      <c r="BP49" s="44"/>
      <c r="BQ49" s="44"/>
      <c r="BR49" s="23"/>
      <c r="BS49" s="88">
        <f>C49+F49+R49+T49+BA49+BC49+BE49+BG49+BI49+BK49+BM49+BO49+BQ49</f>
        <v>200543.334806</v>
      </c>
      <c r="BT49" s="31">
        <f t="shared" si="3"/>
        <v>243929.57906439</v>
      </c>
    </row>
    <row r="50" spans="1:72" ht="16.5" hidden="1" thickBot="1">
      <c r="A50" s="32">
        <v>46</v>
      </c>
      <c r="B50" s="32"/>
      <c r="C50" s="33"/>
      <c r="D50" s="34"/>
      <c r="E50" s="34"/>
      <c r="F50" s="35"/>
      <c r="G50" s="36"/>
      <c r="H50" s="36"/>
      <c r="I50" s="15"/>
      <c r="J50" s="36"/>
      <c r="K50" s="36"/>
      <c r="L50" s="36"/>
      <c r="M50" s="36"/>
      <c r="N50" s="36"/>
      <c r="O50" s="36"/>
      <c r="P50" s="37"/>
      <c r="Q50" s="37">
        <f t="shared" si="1"/>
        <v>0</v>
      </c>
      <c r="R50" s="38"/>
      <c r="S50" s="90"/>
      <c r="T50" s="40"/>
      <c r="U50" s="41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3"/>
      <c r="AZ50" s="43">
        <f t="shared" si="2"/>
        <v>0</v>
      </c>
      <c r="BA50" s="44"/>
      <c r="BB50" s="45"/>
      <c r="BC50" s="46"/>
      <c r="BD50" s="47"/>
      <c r="BE50" s="46"/>
      <c r="BF50" s="36"/>
      <c r="BG50" s="46"/>
      <c r="BH50" s="43"/>
      <c r="BI50" s="48"/>
      <c r="BJ50" s="43"/>
      <c r="BK50" s="48"/>
      <c r="BL50" s="39"/>
      <c r="BM50" s="28"/>
      <c r="BN50" s="44"/>
      <c r="BO50" s="49"/>
      <c r="BP50" s="44"/>
      <c r="BQ50" s="44"/>
      <c r="BR50" s="23"/>
      <c r="BS50" s="88">
        <f>C50+F50+R50+T50+BA50+BC50+BE50+BG50+BI50+BK50+BM50+BO50+BQ50</f>
        <v>0</v>
      </c>
      <c r="BT50" s="31">
        <f t="shared" si="3"/>
        <v>0</v>
      </c>
    </row>
    <row r="51" spans="1:72" ht="16.5" thickBot="1">
      <c r="A51" s="32">
        <v>36</v>
      </c>
      <c r="B51" s="32" t="s">
        <v>93</v>
      </c>
      <c r="C51" s="33">
        <f>200487+44107</f>
        <v>244594</v>
      </c>
      <c r="D51" s="34">
        <f>(137993.24+31229.02)*1.00693</f>
        <v>170394.9702618</v>
      </c>
      <c r="E51" s="34">
        <f>(30358.51+7279.91)*1.016867</f>
        <v>38273.267230139994</v>
      </c>
      <c r="F51" s="35">
        <v>3209</v>
      </c>
      <c r="G51" s="36"/>
      <c r="H51" s="36"/>
      <c r="I51" s="15"/>
      <c r="J51" s="36">
        <v>2585</v>
      </c>
      <c r="K51" s="36"/>
      <c r="L51" s="36"/>
      <c r="M51" s="36"/>
      <c r="N51" s="36"/>
      <c r="O51" s="36"/>
      <c r="P51" s="37"/>
      <c r="Q51" s="37">
        <f t="shared" si="1"/>
        <v>2585</v>
      </c>
      <c r="R51" s="38">
        <v>18100.3067</v>
      </c>
      <c r="S51" s="90">
        <v>12729.62</v>
      </c>
      <c r="T51" s="40">
        <f>1169*1.53625</f>
        <v>1795.8762499999998</v>
      </c>
      <c r="U51" s="41"/>
      <c r="V51" s="34"/>
      <c r="W51" s="42"/>
      <c r="X51" s="42"/>
      <c r="Y51" s="42"/>
      <c r="Z51" s="42"/>
      <c r="AA51" s="42">
        <v>309.6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3"/>
      <c r="AZ51" s="43">
        <f t="shared" si="2"/>
        <v>309.6</v>
      </c>
      <c r="BA51" s="44">
        <v>298</v>
      </c>
      <c r="BB51" s="45"/>
      <c r="BC51" s="46">
        <f>7449*1.100234</f>
        <v>8195.643065999999</v>
      </c>
      <c r="BD51" s="47">
        <v>72205.33</v>
      </c>
      <c r="BE51" s="46">
        <v>184</v>
      </c>
      <c r="BF51" s="36">
        <v>1157.2</v>
      </c>
      <c r="BG51" s="46">
        <f>2577*1.035794</f>
        <v>2669.2411380000003</v>
      </c>
      <c r="BH51" s="43">
        <v>2455.56</v>
      </c>
      <c r="BI51" s="48"/>
      <c r="BJ51" s="43"/>
      <c r="BK51" s="48"/>
      <c r="BL51" s="39"/>
      <c r="BM51" s="28">
        <f>153*1.11235</f>
        <v>170.18955</v>
      </c>
      <c r="BN51" s="44">
        <v>400</v>
      </c>
      <c r="BO51" s="49"/>
      <c r="BP51" s="44"/>
      <c r="BQ51" s="44"/>
      <c r="BR51" s="23"/>
      <c r="BS51" s="88">
        <f>C51+F51+R51+T51+BA51+BC51+BE51+BG51+BI51+BK51+BM51+BO51+BQ51</f>
        <v>279216.256704</v>
      </c>
      <c r="BT51" s="31">
        <f t="shared" si="3"/>
        <v>300510.54749194</v>
      </c>
    </row>
    <row r="52" spans="1:72" ht="16.5" thickBot="1">
      <c r="A52" s="32">
        <v>37</v>
      </c>
      <c r="B52" s="50" t="s">
        <v>36</v>
      </c>
      <c r="C52" s="33">
        <f>355455+78200</f>
        <v>433655</v>
      </c>
      <c r="D52" s="34">
        <f>(192196.37+67137.87)*1.00693</f>
        <v>261131.4262832</v>
      </c>
      <c r="E52" s="34">
        <f>(41916.32+16097.7)*1.016867</f>
        <v>58992.54247534</v>
      </c>
      <c r="F52" s="35">
        <v>19836</v>
      </c>
      <c r="G52" s="36"/>
      <c r="H52" s="36"/>
      <c r="I52" s="15"/>
      <c r="J52" s="36">
        <v>4690</v>
      </c>
      <c r="K52" s="36"/>
      <c r="L52" s="36"/>
      <c r="M52" s="36"/>
      <c r="N52" s="36"/>
      <c r="O52" s="36"/>
      <c r="P52" s="36"/>
      <c r="Q52" s="37">
        <f t="shared" si="1"/>
        <v>4690</v>
      </c>
      <c r="R52" s="38">
        <v>63307.341</v>
      </c>
      <c r="S52" s="90">
        <v>23159.88</v>
      </c>
      <c r="T52" s="40">
        <f>2401*1.53625</f>
        <v>3688.5362499999997</v>
      </c>
      <c r="U52" s="41"/>
      <c r="V52" s="42">
        <v>250.88</v>
      </c>
      <c r="W52" s="42"/>
      <c r="X52" s="42"/>
      <c r="Y52" s="42"/>
      <c r="Z52" s="42">
        <v>570</v>
      </c>
      <c r="AA52" s="42">
        <v>1857.6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3"/>
      <c r="AZ52" s="43">
        <f t="shared" si="2"/>
        <v>2678.48</v>
      </c>
      <c r="BA52" s="44">
        <v>521</v>
      </c>
      <c r="BB52" s="45">
        <v>1005</v>
      </c>
      <c r="BC52" s="46">
        <f>49892*1.100234</f>
        <v>54892.874727999995</v>
      </c>
      <c r="BD52" s="47">
        <v>191675.18</v>
      </c>
      <c r="BE52" s="46">
        <v>524</v>
      </c>
      <c r="BF52" s="36">
        <v>506.65</v>
      </c>
      <c r="BG52" s="46">
        <f>3811*1.035794</f>
        <v>3947.4109340000005</v>
      </c>
      <c r="BH52" s="43">
        <v>4374.14</v>
      </c>
      <c r="BI52" s="48"/>
      <c r="BJ52" s="43"/>
      <c r="BK52" s="48"/>
      <c r="BL52" s="39"/>
      <c r="BM52" s="28">
        <f>154*1.11235</f>
        <v>171.3019</v>
      </c>
      <c r="BN52" s="44"/>
      <c r="BO52" s="49">
        <v>400</v>
      </c>
      <c r="BP52" s="44"/>
      <c r="BQ52" s="44"/>
      <c r="BR52" s="23"/>
      <c r="BS52" s="88">
        <f>C52+F52+R52+T52+BA52+BC52+BE52+BG52+BI52+BK52+BM52+BO52+BQ52</f>
        <v>580943.464812</v>
      </c>
      <c r="BT52" s="31">
        <f t="shared" si="3"/>
        <v>548213.2987585401</v>
      </c>
    </row>
    <row r="53" spans="1:72" ht="16.5" thickBot="1">
      <c r="A53" s="32">
        <v>38</v>
      </c>
      <c r="B53" s="50" t="s">
        <v>37</v>
      </c>
      <c r="C53" s="33">
        <f>417930+91945</f>
        <v>509875</v>
      </c>
      <c r="D53" s="34">
        <f>(291328.25+76283.64)*1.007</f>
        <v>370185.17322999996</v>
      </c>
      <c r="E53" s="34">
        <f>(59108.18+15714.97)*1.016867</f>
        <v>76085.19207105</v>
      </c>
      <c r="F53" s="35">
        <v>15218</v>
      </c>
      <c r="G53" s="36"/>
      <c r="H53" s="36"/>
      <c r="I53" s="15"/>
      <c r="J53" s="36">
        <v>2705</v>
      </c>
      <c r="K53" s="36"/>
      <c r="L53" s="36"/>
      <c r="M53" s="36"/>
      <c r="N53" s="36"/>
      <c r="O53" s="36"/>
      <c r="P53" s="36"/>
      <c r="Q53" s="37">
        <f t="shared" si="1"/>
        <v>2705</v>
      </c>
      <c r="R53" s="38">
        <v>84223.7711</v>
      </c>
      <c r="S53" s="90">
        <v>35129.9</v>
      </c>
      <c r="T53" s="40">
        <f>3039*1.53625</f>
        <v>4668.66375</v>
      </c>
      <c r="U53" s="41"/>
      <c r="V53" s="42">
        <v>516</v>
      </c>
      <c r="W53" s="34">
        <v>2860</v>
      </c>
      <c r="X53" s="42"/>
      <c r="Y53" s="42"/>
      <c r="Z53" s="42">
        <v>570</v>
      </c>
      <c r="AA53" s="42">
        <v>1548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3"/>
      <c r="AZ53" s="43">
        <f t="shared" si="2"/>
        <v>5494</v>
      </c>
      <c r="BA53" s="44">
        <v>487</v>
      </c>
      <c r="BB53" s="45"/>
      <c r="BC53" s="46">
        <f>52373*1.100234+0.3</f>
        <v>57622.855282</v>
      </c>
      <c r="BD53" s="47"/>
      <c r="BE53" s="46"/>
      <c r="BF53" s="36">
        <v>395.82</v>
      </c>
      <c r="BG53" s="46">
        <f>7490*1.035794</f>
        <v>7758.097060000001</v>
      </c>
      <c r="BH53" s="43">
        <v>1323.1</v>
      </c>
      <c r="BI53" s="48"/>
      <c r="BJ53" s="43"/>
      <c r="BK53" s="48"/>
      <c r="BL53" s="39"/>
      <c r="BM53" s="28">
        <f>153*1.11235</f>
        <v>170.18955</v>
      </c>
      <c r="BN53" s="44"/>
      <c r="BO53" s="49"/>
      <c r="BP53" s="44"/>
      <c r="BQ53" s="44"/>
      <c r="BR53" s="23"/>
      <c r="BS53" s="88">
        <f>C53+F53+R53+T53+BA53+BC53+BE53+BG53+BI53+BK53+BM53+BO53+BQ53</f>
        <v>680023.5767420001</v>
      </c>
      <c r="BT53" s="31">
        <f t="shared" si="3"/>
        <v>491318.18530104996</v>
      </c>
    </row>
    <row r="54" spans="1:72" ht="16.5" thickBot="1">
      <c r="A54" s="54">
        <v>39</v>
      </c>
      <c r="B54" s="54" t="s">
        <v>38</v>
      </c>
      <c r="C54" s="55">
        <f>222424+48934</f>
        <v>271358</v>
      </c>
      <c r="D54" s="56">
        <f>(142009.62+37613.51)*1.007+12.26</f>
        <v>180892.75191</v>
      </c>
      <c r="E54" s="56">
        <f>(31162.13+8274.97)*1.016867+0.04</f>
        <v>40102.3255657</v>
      </c>
      <c r="F54" s="57">
        <v>3253</v>
      </c>
      <c r="G54" s="56"/>
      <c r="H54" s="56"/>
      <c r="I54" s="15"/>
      <c r="J54" s="56">
        <v>2585</v>
      </c>
      <c r="K54" s="56"/>
      <c r="L54" s="56"/>
      <c r="M54" s="56"/>
      <c r="N54" s="56"/>
      <c r="O54" s="56"/>
      <c r="P54" s="56"/>
      <c r="Q54" s="58">
        <f t="shared" si="1"/>
        <v>2585</v>
      </c>
      <c r="R54" s="59">
        <v>17642.0399</v>
      </c>
      <c r="S54" s="68">
        <v>11114.08</v>
      </c>
      <c r="T54" s="60">
        <f>1560*1.53625+0.8</f>
        <v>2397.35</v>
      </c>
      <c r="U54" s="61"/>
      <c r="V54" s="56"/>
      <c r="W54" s="56">
        <v>3120</v>
      </c>
      <c r="X54" s="56"/>
      <c r="Y54" s="56"/>
      <c r="Z54" s="56"/>
      <c r="AA54" s="56">
        <v>309.6</v>
      </c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62"/>
      <c r="AZ54" s="63">
        <f t="shared" si="2"/>
        <v>3429.6</v>
      </c>
      <c r="BA54" s="64">
        <v>380</v>
      </c>
      <c r="BB54" s="65">
        <v>2100</v>
      </c>
      <c r="BC54" s="59"/>
      <c r="BD54" s="66"/>
      <c r="BE54" s="59">
        <v>269</v>
      </c>
      <c r="BF54" s="62">
        <v>169.67</v>
      </c>
      <c r="BG54" s="59">
        <f>20333*1.035794</f>
        <v>21060.799402</v>
      </c>
      <c r="BH54" s="62">
        <v>20078.69</v>
      </c>
      <c r="BI54" s="67"/>
      <c r="BJ54" s="62"/>
      <c r="BK54" s="67"/>
      <c r="BL54" s="68"/>
      <c r="BM54" s="28">
        <f>2110*1.11235+0.07</f>
        <v>2347.1285000000003</v>
      </c>
      <c r="BN54" s="64">
        <v>3284</v>
      </c>
      <c r="BO54" s="66"/>
      <c r="BP54" s="64"/>
      <c r="BQ54" s="64"/>
      <c r="BR54" s="122"/>
      <c r="BS54" s="88">
        <f>C54+F54+R54+T54+BA54+BC54+BE54+BG54+BI54+BK54+BM54+BO54+BQ54</f>
        <v>318707.3178019999</v>
      </c>
      <c r="BT54" s="31">
        <f t="shared" si="3"/>
        <v>263756.1174757</v>
      </c>
    </row>
    <row r="55" spans="1:72" s="79" customFormat="1" ht="16.5" thickBot="1">
      <c r="A55" s="69">
        <v>40</v>
      </c>
      <c r="B55" s="70" t="s">
        <v>61</v>
      </c>
      <c r="C55" s="70">
        <f>SUM(C6:C54)</f>
        <v>16463858</v>
      </c>
      <c r="D55" s="71">
        <f>SUM(D6:D54)</f>
        <v>11534034.7103696</v>
      </c>
      <c r="E55" s="71">
        <f aca="true" t="shared" si="4" ref="E55:BS55">SUM(E6:E54)</f>
        <v>2524073.7238307702</v>
      </c>
      <c r="F55" s="71">
        <f t="shared" si="4"/>
        <v>433755</v>
      </c>
      <c r="G55" s="71">
        <f t="shared" si="4"/>
        <v>0</v>
      </c>
      <c r="H55" s="71">
        <f t="shared" si="4"/>
        <v>0</v>
      </c>
      <c r="I55" s="71">
        <f t="shared" si="4"/>
        <v>117000</v>
      </c>
      <c r="J55" s="71">
        <f t="shared" si="4"/>
        <v>134978</v>
      </c>
      <c r="K55" s="71">
        <f t="shared" si="4"/>
        <v>0</v>
      </c>
      <c r="L55" s="71">
        <f t="shared" si="4"/>
        <v>0</v>
      </c>
      <c r="M55" s="71">
        <f t="shared" si="4"/>
        <v>0</v>
      </c>
      <c r="N55" s="71">
        <f t="shared" si="4"/>
        <v>970</v>
      </c>
      <c r="O55" s="71">
        <f t="shared" si="4"/>
        <v>0</v>
      </c>
      <c r="P55" s="71">
        <f t="shared" si="4"/>
        <v>0</v>
      </c>
      <c r="Q55" s="72">
        <f t="shared" si="4"/>
        <v>252948</v>
      </c>
      <c r="R55" s="73">
        <f t="shared" si="4"/>
        <v>2403017.004</v>
      </c>
      <c r="S55" s="74">
        <f t="shared" si="4"/>
        <v>923012.2000000001</v>
      </c>
      <c r="T55" s="84">
        <f t="shared" si="4"/>
        <v>137509.00125000003</v>
      </c>
      <c r="U55" s="75">
        <f t="shared" si="4"/>
        <v>0</v>
      </c>
      <c r="V55" s="71">
        <f t="shared" si="4"/>
        <v>6702.95</v>
      </c>
      <c r="W55" s="71">
        <f t="shared" si="4"/>
        <v>31330</v>
      </c>
      <c r="X55" s="71">
        <f t="shared" si="4"/>
        <v>0</v>
      </c>
      <c r="Y55" s="71">
        <f t="shared" si="4"/>
        <v>0</v>
      </c>
      <c r="Z55" s="71">
        <f t="shared" si="4"/>
        <v>13694.4</v>
      </c>
      <c r="AA55" s="71">
        <f t="shared" si="4"/>
        <v>39241.799999999996</v>
      </c>
      <c r="AB55" s="71">
        <f t="shared" si="4"/>
        <v>4900</v>
      </c>
      <c r="AC55" s="71">
        <f t="shared" si="4"/>
        <v>0</v>
      </c>
      <c r="AD55" s="71">
        <f t="shared" si="4"/>
        <v>0</v>
      </c>
      <c r="AE55" s="71">
        <f t="shared" si="4"/>
        <v>0</v>
      </c>
      <c r="AF55" s="71">
        <f t="shared" si="4"/>
        <v>1582</v>
      </c>
      <c r="AG55" s="71">
        <f t="shared" si="4"/>
        <v>0</v>
      </c>
      <c r="AH55" s="71">
        <f t="shared" si="4"/>
        <v>0</v>
      </c>
      <c r="AI55" s="71">
        <f t="shared" si="4"/>
        <v>0</v>
      </c>
      <c r="AJ55" s="71">
        <f t="shared" si="4"/>
        <v>0</v>
      </c>
      <c r="AK55" s="71">
        <f t="shared" si="4"/>
        <v>0</v>
      </c>
      <c r="AL55" s="71">
        <f t="shared" si="4"/>
        <v>0</v>
      </c>
      <c r="AM55" s="71">
        <f t="shared" si="4"/>
        <v>0</v>
      </c>
      <c r="AN55" s="71">
        <f t="shared" si="4"/>
        <v>0</v>
      </c>
      <c r="AO55" s="71">
        <f t="shared" si="4"/>
        <v>0</v>
      </c>
      <c r="AP55" s="71">
        <f t="shared" si="4"/>
        <v>0</v>
      </c>
      <c r="AQ55" s="71">
        <f t="shared" si="4"/>
        <v>0</v>
      </c>
      <c r="AR55" s="71">
        <f t="shared" si="4"/>
        <v>0</v>
      </c>
      <c r="AS55" s="71">
        <f t="shared" si="4"/>
        <v>0</v>
      </c>
      <c r="AT55" s="71">
        <f t="shared" si="4"/>
        <v>0</v>
      </c>
      <c r="AU55" s="71">
        <f t="shared" si="4"/>
        <v>0</v>
      </c>
      <c r="AV55" s="71">
        <f t="shared" si="4"/>
        <v>0</v>
      </c>
      <c r="AW55" s="71">
        <f t="shared" si="4"/>
        <v>0</v>
      </c>
      <c r="AX55" s="71">
        <f t="shared" si="4"/>
        <v>0</v>
      </c>
      <c r="AY55" s="72">
        <f t="shared" si="4"/>
        <v>185700.06</v>
      </c>
      <c r="AZ55" s="72">
        <f t="shared" si="4"/>
        <v>283151.20999999985</v>
      </c>
      <c r="BA55" s="85">
        <f t="shared" si="4"/>
        <v>18212</v>
      </c>
      <c r="BB55" s="76">
        <f t="shared" si="4"/>
        <v>17691.3</v>
      </c>
      <c r="BC55" s="86">
        <f t="shared" si="4"/>
        <v>1721323.0048551</v>
      </c>
      <c r="BD55" s="77">
        <f t="shared" si="4"/>
        <v>2108039.8000000003</v>
      </c>
      <c r="BE55" s="86">
        <f t="shared" si="4"/>
        <v>38105</v>
      </c>
      <c r="BF55" s="72">
        <f t="shared" si="4"/>
        <v>29283.079999999998</v>
      </c>
      <c r="BG55" s="87">
        <f t="shared" si="4"/>
        <v>303840.00196</v>
      </c>
      <c r="BH55" s="72">
        <f t="shared" si="4"/>
        <v>170699.58000000002</v>
      </c>
      <c r="BI55" s="77">
        <f t="shared" si="4"/>
        <v>62963</v>
      </c>
      <c r="BJ55" s="72">
        <f t="shared" si="4"/>
        <v>174155.09</v>
      </c>
      <c r="BK55" s="72">
        <f t="shared" si="4"/>
        <v>1856</v>
      </c>
      <c r="BL55" s="74">
        <f t="shared" si="4"/>
        <v>86008.72</v>
      </c>
      <c r="BM55" s="84">
        <f>BM6+BM7+BM8+BM9+BM10+BM11+BM12+BM13+BM14+BM15+BM16+BM17+BM18+BM19+BM20+BM21+BM22+BM23+BM24+BM25+BM26+BM27+BM28+BM29+BM30+BM37+BM38+BM39+BM40+BM41+BM42+BM43+BM47+BM48+BM49+BM51+BM52+BM53+BM54</f>
        <v>18098.004499999995</v>
      </c>
      <c r="BN55" s="76">
        <f t="shared" si="4"/>
        <v>17700</v>
      </c>
      <c r="BO55" s="76">
        <f t="shared" si="4"/>
        <v>10000</v>
      </c>
      <c r="BP55" s="76">
        <f t="shared" si="4"/>
        <v>0</v>
      </c>
      <c r="BQ55" s="77">
        <f t="shared" si="4"/>
        <v>0</v>
      </c>
      <c r="BR55" s="76">
        <f t="shared" si="4"/>
        <v>0</v>
      </c>
      <c r="BS55" s="85">
        <f t="shared" si="4"/>
        <v>21612536.016565096</v>
      </c>
      <c r="BT55" s="78">
        <f>SUM(BT6:BT54)</f>
        <v>18120797.414200373</v>
      </c>
    </row>
    <row r="56" spans="16:18" ht="15.75">
      <c r="P56" s="81"/>
      <c r="Q56" s="81"/>
      <c r="R56" s="81"/>
    </row>
    <row r="57" spans="58:59" ht="15.75">
      <c r="BF57" s="83"/>
      <c r="BG57" s="83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0" r:id="rId1"/>
  <colBreaks count="5" manualBreakCount="5">
    <brk id="17" max="65535" man="1"/>
    <brk id="32" max="69" man="1"/>
    <brk id="52" max="65535" man="1"/>
    <brk id="58" max="69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2018-02-01T07:57:09Z</cp:lastPrinted>
  <dcterms:created xsi:type="dcterms:W3CDTF">2003-12-12T12:38:26Z</dcterms:created>
  <dcterms:modified xsi:type="dcterms:W3CDTF">2018-06-15T11:43:38Z</dcterms:modified>
  <cp:category/>
  <cp:version/>
  <cp:contentType/>
  <cp:contentStatus/>
</cp:coreProperties>
</file>